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25" windowHeight="5040" activeTab="4"/>
  </bookViews>
  <sheets>
    <sheet name="2011" sheetId="1" r:id="rId1"/>
    <sheet name="2011 (2)" sheetId="2" r:id="rId2"/>
    <sheet name="2012" sheetId="3" r:id="rId3"/>
    <sheet name="2012 (2)" sheetId="4" r:id="rId4"/>
    <sheet name="Табл. 2" sheetId="5" r:id="rId5"/>
    <sheet name="Табл.12" sheetId="6" r:id="rId6"/>
    <sheet name="Табл.14" sheetId="7" r:id="rId7"/>
    <sheet name="Табл. 15" sheetId="8" r:id="rId8"/>
    <sheet name="Табл. 1" sheetId="9" r:id="rId9"/>
    <sheet name="Табл. 13" sheetId="10" r:id="rId10"/>
  </sheets>
  <definedNames>
    <definedName name="_xlnm.Print_Titles" localSheetId="0">'2011'!$1:$6</definedName>
    <definedName name="_xlnm.Print_Titles" localSheetId="2">'2012'!$1:$5</definedName>
    <definedName name="_xlnm.Print_Area" localSheetId="0">'2011'!$A$1:$O$60</definedName>
    <definedName name="_xlnm.Print_Area" localSheetId="1">'2011 (2)'!$A$1:$O$44</definedName>
    <definedName name="_xlnm.Print_Area" localSheetId="2">'2012'!$A$1:$O$60</definedName>
    <definedName name="_xlnm.Print_Area" localSheetId="3">'2012 (2)'!$A$1:$O$44</definedName>
  </definedNames>
  <calcPr fullCalcOnLoad="1"/>
</workbook>
</file>

<file path=xl/sharedStrings.xml><?xml version="1.0" encoding="utf-8"?>
<sst xmlns="http://schemas.openxmlformats.org/spreadsheetml/2006/main" count="791" uniqueCount="295">
  <si>
    <t>ЗОШ № 1</t>
  </si>
  <si>
    <t>ЗОШ № 2</t>
  </si>
  <si>
    <t>ЗОШ № 3</t>
  </si>
  <si>
    <t>ЗОШ № 4</t>
  </si>
  <si>
    <t>ЗОШ № 6</t>
  </si>
  <si>
    <t>ЗОШ № 7</t>
  </si>
  <si>
    <t>ЗОШ № 8</t>
  </si>
  <si>
    <t>ЗОШ № 10</t>
  </si>
  <si>
    <t>ЗОШ № 12</t>
  </si>
  <si>
    <t>ЗОШ № 13</t>
  </si>
  <si>
    <t>ЗОШ № 14</t>
  </si>
  <si>
    <t>ЗОШ № 15</t>
  </si>
  <si>
    <t>ЗОШ № 16</t>
  </si>
  <si>
    <t>ЗОШ № 17</t>
  </si>
  <si>
    <t>ЗОШ № 18</t>
  </si>
  <si>
    <t>ЗОШ № 19</t>
  </si>
  <si>
    <t>ЗОШ № 20</t>
  </si>
  <si>
    <t>ЗОШ № 21</t>
  </si>
  <si>
    <t>ЗОШ № 22</t>
  </si>
  <si>
    <t>ЗОШ № 23</t>
  </si>
  <si>
    <t>ЗОШ № 24</t>
  </si>
  <si>
    <t>ЗОШ № 25</t>
  </si>
  <si>
    <t>ЗОШ № 26</t>
  </si>
  <si>
    <t>ЗОШ № 29</t>
  </si>
  <si>
    <t>ЗОШ № 30</t>
  </si>
  <si>
    <t>ЗОШ № 31</t>
  </si>
  <si>
    <t>ЗОШ № 32</t>
  </si>
  <si>
    <t>ЗОШ № 33</t>
  </si>
  <si>
    <t>ЗОШ № 34</t>
  </si>
  <si>
    <t>ЗОШ № 35</t>
  </si>
  <si>
    <t>ЗОШ № 37</t>
  </si>
  <si>
    <t>Гімназія нових технологій</t>
  </si>
  <si>
    <t>Вікторія "П"</t>
  </si>
  <si>
    <t>Пед. ліц.</t>
  </si>
  <si>
    <t>Установа</t>
  </si>
  <si>
    <t xml:space="preserve">в т. ч. </t>
  </si>
  <si>
    <t>на один  клас</t>
  </si>
  <si>
    <t>на одного учня</t>
  </si>
  <si>
    <t>на один клас</t>
  </si>
  <si>
    <t>" Мрія"</t>
  </si>
  <si>
    <t>Колегіум</t>
  </si>
  <si>
    <t>Гімн ім. Т. Шевченка</t>
  </si>
  <si>
    <t>Гімн № 9</t>
  </si>
  <si>
    <t>грн.</t>
  </si>
  <si>
    <t>Ітого</t>
  </si>
  <si>
    <t>Сп. Шк.№1</t>
  </si>
  <si>
    <t>Сп. Шк.№2</t>
  </si>
  <si>
    <t>Сп. Шк.№3</t>
  </si>
  <si>
    <t>Дит.буд.</t>
  </si>
  <si>
    <t>Інтернат</t>
  </si>
  <si>
    <t>ДДТ</t>
  </si>
  <si>
    <t>СЮТ</t>
  </si>
  <si>
    <t>Каскад</t>
  </si>
  <si>
    <t>на одну дитину</t>
  </si>
  <si>
    <t>на одину групу</t>
  </si>
  <si>
    <t>на одну групу</t>
  </si>
  <si>
    <t>ДНЗ № 2</t>
  </si>
  <si>
    <t>ДНЗ № 3</t>
  </si>
  <si>
    <t>ДНЗ № 4</t>
  </si>
  <si>
    <t>ДНЗ № 15</t>
  </si>
  <si>
    <t>ДНЗ № 19</t>
  </si>
  <si>
    <t>ДНЗ № 21</t>
  </si>
  <si>
    <t>ДНЗ № 22</t>
  </si>
  <si>
    <t>ДНЗ № 23</t>
  </si>
  <si>
    <t>ДНЗ № 24</t>
  </si>
  <si>
    <t>ДНЗ № 27</t>
  </si>
  <si>
    <t>ДНЗ № 28</t>
  </si>
  <si>
    <t>ДНЗ № 29</t>
  </si>
  <si>
    <t>ДНЗ № 31</t>
  </si>
  <si>
    <t>ДНЗ № 35</t>
  </si>
  <si>
    <t>ДНЗ № 43</t>
  </si>
  <si>
    <t>ДНЗ № 46</t>
  </si>
  <si>
    <t>ДНЗ № 47</t>
  </si>
  <si>
    <t>ДНЗ № 52</t>
  </si>
  <si>
    <t>ДНЗ № 54</t>
  </si>
  <si>
    <t>ДНЗ № 60</t>
  </si>
  <si>
    <t>ДНЗ № 61</t>
  </si>
  <si>
    <t>ДНЗ № 62</t>
  </si>
  <si>
    <t>ДНЗ № 63</t>
  </si>
  <si>
    <t>ДНЗ № 65</t>
  </si>
  <si>
    <t>ДНЗ № 67</t>
  </si>
  <si>
    <t>ДНЗ № 68</t>
  </si>
  <si>
    <t>ДНЗ № 69</t>
  </si>
  <si>
    <t>ДНЗ № 70</t>
  </si>
  <si>
    <t>ДНЗ № 71</t>
  </si>
  <si>
    <t>ДНЗ № 14</t>
  </si>
  <si>
    <t>ДНЗ № 37</t>
  </si>
  <si>
    <t>ДНЗ № 72</t>
  </si>
  <si>
    <t>ДНЗ № 73</t>
  </si>
  <si>
    <t>Разом</t>
  </si>
  <si>
    <t>ДНЗ № 42</t>
  </si>
  <si>
    <t>ДНЗ № 48</t>
  </si>
  <si>
    <t xml:space="preserve"> </t>
  </si>
  <si>
    <t>ВЗОШ № 38</t>
  </si>
  <si>
    <t>ДНЗ № 17</t>
  </si>
  <si>
    <t>Аналіз фактичних витрат на одного учня та один клас за 2011 р.</t>
  </si>
  <si>
    <t>Аналіз фактичних витрат на одну дитину та одну групу за 2011 р.</t>
  </si>
  <si>
    <t>Середня кількість учнів 2011р.</t>
  </si>
  <si>
    <t>Середня кількість класів 2011р.</t>
  </si>
  <si>
    <t>Середня кількість дітей 2011 р.</t>
  </si>
  <si>
    <t>Середня кількість груп 2011 р.</t>
  </si>
  <si>
    <t>Аналіз фактичних витрат на одного учня та один клас за І півріччя 2012 р.</t>
  </si>
  <si>
    <t>Середня кількість учнів 2012р.</t>
  </si>
  <si>
    <t>Середня кількість класів 2012р.</t>
  </si>
  <si>
    <t>Аналіз фактичних витрат на одну дитину та одну групу за І півріччя 2012 р.</t>
  </si>
  <si>
    <t>Середня кількість дітей 2012 р.</t>
  </si>
  <si>
    <t>Середня кількість груп 2012 р.</t>
  </si>
  <si>
    <t>КЕКВ 1160</t>
  </si>
  <si>
    <t>із них КЕКВ 1163</t>
  </si>
  <si>
    <t>Всього фактичні видатки за 2011 рік</t>
  </si>
  <si>
    <t>Заробітна плата КЕКВ 1111+1120</t>
  </si>
  <si>
    <t>Всього фактичні видатки</t>
  </si>
  <si>
    <t xml:space="preserve"> Всього фактичні видатки</t>
  </si>
  <si>
    <t>Всього фактичні видатки за 2012 рік</t>
  </si>
  <si>
    <t>Аналіз по заробітні платі  за 2012 рік ( 1111,1120)</t>
  </si>
  <si>
    <t>табл.2</t>
  </si>
  <si>
    <t>КФК</t>
  </si>
  <si>
    <t>затверджено на рік</t>
  </si>
  <si>
    <t>Потреба на рік</t>
  </si>
  <si>
    <t>Необхідно додатково</t>
  </si>
  <si>
    <t>план1120</t>
  </si>
  <si>
    <t>план1110</t>
  </si>
  <si>
    <t>потр. 1110</t>
  </si>
  <si>
    <t>потр.1120</t>
  </si>
  <si>
    <t>№ДНЗ</t>
  </si>
  <si>
    <t>ДНЗ №2</t>
  </si>
  <si>
    <t>ДНЗ №3</t>
  </si>
  <si>
    <t>ДНЗ №4</t>
  </si>
  <si>
    <t>ДНЗ №15</t>
  </si>
  <si>
    <t>ДНЗ №17</t>
  </si>
  <si>
    <t>ДНЗ №19</t>
  </si>
  <si>
    <t>ДНЗ №21</t>
  </si>
  <si>
    <t>ДНЗ №22</t>
  </si>
  <si>
    <t>ДНЗ №23</t>
  </si>
  <si>
    <t>ДНЗ №24</t>
  </si>
  <si>
    <t>ДНЗ №27</t>
  </si>
  <si>
    <t>ДНЗ №28</t>
  </si>
  <si>
    <t>ДНЗ №29</t>
  </si>
  <si>
    <t>ДНЗ №31</t>
  </si>
  <si>
    <t>ДНЗ №35</t>
  </si>
  <si>
    <t>ДНЗ №42</t>
  </si>
  <si>
    <t>ДНЗ №43</t>
  </si>
  <si>
    <t>ДНЗ №46</t>
  </si>
  <si>
    <t>ДНЗ №47</t>
  </si>
  <si>
    <t>ДНЗ №48</t>
  </si>
  <si>
    <t>ДНЗ №52</t>
  </si>
  <si>
    <t>ДНЗ №54</t>
  </si>
  <si>
    <t>ДНЗ №60</t>
  </si>
  <si>
    <t>ДНЗ №61</t>
  </si>
  <si>
    <t>ДНЗ №62</t>
  </si>
  <si>
    <t>ДНЗ №63</t>
  </si>
  <si>
    <t>ДНЗ №65</t>
  </si>
  <si>
    <t>ДНЗ №67</t>
  </si>
  <si>
    <t>ДНЗ №68</t>
  </si>
  <si>
    <t>ДНЗ №69</t>
  </si>
  <si>
    <t>ДНЗ №70</t>
  </si>
  <si>
    <t>ДНЗ №71</t>
  </si>
  <si>
    <t>ДНЗ 14</t>
  </si>
  <si>
    <t>ДНЗ 37</t>
  </si>
  <si>
    <t>ДНЗ 72</t>
  </si>
  <si>
    <t>ДНЗ 73</t>
  </si>
  <si>
    <t xml:space="preserve"> Разом 70101</t>
  </si>
  <si>
    <t>ЗОШ №</t>
  </si>
  <si>
    <t>ЗОШ №1</t>
  </si>
  <si>
    <t>ЗОШ №2</t>
  </si>
  <si>
    <t>ЗОШ №3</t>
  </si>
  <si>
    <t>ЗОШ №4</t>
  </si>
  <si>
    <t>ЗОШ №6</t>
  </si>
  <si>
    <t>ЗОШ №7</t>
  </si>
  <si>
    <t>ЗОШ №8</t>
  </si>
  <si>
    <t>ЗОШ №9</t>
  </si>
  <si>
    <t>ЗОШ №10</t>
  </si>
  <si>
    <t>ЗОШ №12</t>
  </si>
  <si>
    <t>ЗОШ №13</t>
  </si>
  <si>
    <t>ЗОШ №14</t>
  </si>
  <si>
    <t>ЗОШ №15</t>
  </si>
  <si>
    <t>ЗОШ №16</t>
  </si>
  <si>
    <t>ЗОШ №18</t>
  </si>
  <si>
    <t>ЗОШ №19</t>
  </si>
  <si>
    <t>ЗОШ №20</t>
  </si>
  <si>
    <t>ЗОШ №21</t>
  </si>
  <si>
    <t>ЗОШ №22</t>
  </si>
  <si>
    <t>ЗОШ №23</t>
  </si>
  <si>
    <t>ЗОШ №24</t>
  </si>
  <si>
    <t>ЗОШ №26</t>
  </si>
  <si>
    <t>ЗОШ №29</t>
  </si>
  <si>
    <t>ЗОШ №30</t>
  </si>
  <si>
    <t>ЗОШ №31</t>
  </si>
  <si>
    <t>ЗОШ №33</t>
  </si>
  <si>
    <t>ЗОШ №34</t>
  </si>
  <si>
    <t>ЗОШ №35</t>
  </si>
  <si>
    <t>ЗОШ №37</t>
  </si>
  <si>
    <t>ГНТН</t>
  </si>
  <si>
    <t>Мрія</t>
  </si>
  <si>
    <t>ОКП</t>
  </si>
  <si>
    <t>Пед.ліцей</t>
  </si>
  <si>
    <t>Г.Шевченко</t>
  </si>
  <si>
    <t>32</t>
  </si>
  <si>
    <t>ННПК</t>
  </si>
  <si>
    <t>Вікторія П</t>
  </si>
  <si>
    <t xml:space="preserve"> Сп. Шк № 1</t>
  </si>
  <si>
    <t xml:space="preserve"> Сп. Шк № 2</t>
  </si>
  <si>
    <t xml:space="preserve"> Сп. Шк № 3</t>
  </si>
  <si>
    <t>ІТОГО 070304</t>
  </si>
  <si>
    <t>ЦПО ЗОШ №1</t>
  </si>
  <si>
    <t>ЦПО ЗОШ №6</t>
  </si>
  <si>
    <t>ЦПО ЗОШ №8</t>
  </si>
  <si>
    <t>ЦПО ЗОШ №11</t>
  </si>
  <si>
    <t>ЦПО ЗОШ №13</t>
  </si>
  <si>
    <t>ЦПО ЗОШ №15</t>
  </si>
  <si>
    <t>ЦПО ЗОШ №16</t>
  </si>
  <si>
    <t>ЦПО ЗОШ №18</t>
  </si>
  <si>
    <t>ЦПО ЗОШ №19</t>
  </si>
  <si>
    <t>ЦПО ЗОШ №20</t>
  </si>
  <si>
    <t>ЦПО ЗОШ №24</t>
  </si>
  <si>
    <t>ЦПО ЗОШ №26</t>
  </si>
  <si>
    <t>ЦПО ЗОШ №31</t>
  </si>
  <si>
    <t>ЦПО ЗОШ №34</t>
  </si>
  <si>
    <t>ЦПО ЗОШ №35</t>
  </si>
  <si>
    <t>Буд.вчителя</t>
  </si>
  <si>
    <t>БДТ</t>
  </si>
  <si>
    <t>ІТОГО 070401</t>
  </si>
  <si>
    <t>ЦПО ЗОШ №5</t>
  </si>
  <si>
    <t>ЦПО ЗОШ №17</t>
  </si>
  <si>
    <t>ЦПО ЗОШ №25</t>
  </si>
  <si>
    <t>ЦПО ЗОШ №32</t>
  </si>
  <si>
    <t>Разом 070401</t>
  </si>
  <si>
    <t>070802</t>
  </si>
  <si>
    <t>070803</t>
  </si>
  <si>
    <t>070804</t>
  </si>
  <si>
    <t>070808</t>
  </si>
  <si>
    <t>070806</t>
  </si>
  <si>
    <t xml:space="preserve">Разом </t>
  </si>
  <si>
    <t xml:space="preserve"> 2010/2011 рік</t>
  </si>
  <si>
    <t>табл. 12</t>
  </si>
  <si>
    <t>Заклад</t>
  </si>
  <si>
    <t>Всього учнів</t>
  </si>
  <si>
    <t>Класів</t>
  </si>
  <si>
    <t>Всього ставок</t>
  </si>
  <si>
    <t>з них пед.ставок</t>
  </si>
  <si>
    <t>Кількість працюючих на пед. ставках</t>
  </si>
  <si>
    <t>Фонд з/ плати</t>
  </si>
  <si>
    <t>Середня зар.плата всього</t>
  </si>
  <si>
    <t>Середня зар.плата пед.працівників</t>
  </si>
  <si>
    <t>Учнів на 1 вчителя</t>
  </si>
  <si>
    <t>всього</t>
  </si>
  <si>
    <t>пед.ставок</t>
  </si>
  <si>
    <t>Гімназія № 9</t>
  </si>
  <si>
    <t xml:space="preserve">ЗОШ № 12 </t>
  </si>
  <si>
    <t xml:space="preserve">Педліцей </t>
  </si>
  <si>
    <t>Ітого Міськ УО</t>
  </si>
  <si>
    <t>Самостійний баланс</t>
  </si>
  <si>
    <t>ЗОШ 5</t>
  </si>
  <si>
    <t>ЗОШ 17</t>
  </si>
  <si>
    <t>ЗОШ 25</t>
  </si>
  <si>
    <t>ЗОШ 32</t>
  </si>
  <si>
    <t>Ітого самостійний баланс</t>
  </si>
  <si>
    <t>Разом 070201:</t>
  </si>
  <si>
    <t>Спец.школи 1</t>
  </si>
  <si>
    <t>Спец.школи 2</t>
  </si>
  <si>
    <t>Спец.школи 3</t>
  </si>
  <si>
    <t>Ітого 070304</t>
  </si>
  <si>
    <t>ЗОШ-інтернат</t>
  </si>
  <si>
    <t>Ітого 070301</t>
  </si>
  <si>
    <t>Вечірні школи</t>
  </si>
  <si>
    <t>Ітого 070202</t>
  </si>
  <si>
    <t>табл. 14</t>
  </si>
  <si>
    <t>Всього дітей</t>
  </si>
  <si>
    <t>Груп</t>
  </si>
  <si>
    <t xml:space="preserve">Фонд з/ плати                </t>
  </si>
  <si>
    <t>Дітей на 1 вихователя</t>
  </si>
  <si>
    <t>Разом 070101:</t>
  </si>
  <si>
    <t xml:space="preserve"> 2011/2012 рік</t>
  </si>
  <si>
    <t>табл. 15</t>
  </si>
  <si>
    <t>Фонд з/ плати                за 6 міс-ців</t>
  </si>
  <si>
    <t>Аналіз по заробітній платі  за 6 місяців 2012 року( 1111,1120)</t>
  </si>
  <si>
    <t>табл.№1</t>
  </si>
  <si>
    <t>Затверджено на 6 місяців(1111,1120)</t>
  </si>
  <si>
    <t>Затверджено на 6 місяців зі змінами(1111,1120)</t>
  </si>
  <si>
    <t>Нараховано фактично за 6 місяців(1111,1120)</t>
  </si>
  <si>
    <t>Виплачено за 6 місяців(1111,1120)</t>
  </si>
  <si>
    <t>ІТОГО</t>
  </si>
  <si>
    <t>ДДЗ № 73</t>
  </si>
  <si>
    <t>Разом 070101</t>
  </si>
  <si>
    <t>Гімназія №9</t>
  </si>
  <si>
    <t>МРИЯ</t>
  </si>
  <si>
    <t>ІТОГО 070201</t>
  </si>
  <si>
    <t>ВІКТОРІЯ - П</t>
  </si>
  <si>
    <t>Разом 070201</t>
  </si>
  <si>
    <t>070202</t>
  </si>
  <si>
    <t>070301</t>
  </si>
  <si>
    <t>070303</t>
  </si>
  <si>
    <t>ЦПО Колегіум</t>
  </si>
  <si>
    <t>табл. 13</t>
  </si>
  <si>
    <t>Фонд з/ плати                      за 6 міс-ців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</si>
</sst>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_-* #,##0.0\ _г_р_н_._-;\-* #,##0.0\ _г_р_н_._-;_-* &quot;-&quot;??\ _г_р_н_._-;_-@_-"/>
    <numFmt numFmtId="175" formatCode="_-* #,##0\ _г_р_н_._-;\-* #,##0\ _г_р_н_._-;_-* &quot;-&quot;??\ _г_р_н_._-;_-@_-"/>
  </numFmts>
  <fonts count="1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3" fontId="5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0" xfId="0" applyFont="1" applyBorder="1" applyAlignment="1">
      <alignment vertical="center" wrapText="1" shrinkToFi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3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175" fontId="5" fillId="0" borderId="1" xfId="2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3" fontId="5" fillId="0" borderId="1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/>
    </xf>
    <xf numFmtId="0" fontId="5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24" xfId="0" applyNumberFormat="1" applyFont="1" applyBorder="1" applyAlignment="1">
      <alignment vertical="top" wrapText="1"/>
    </xf>
    <xf numFmtId="49" fontId="9" fillId="0" borderId="16" xfId="0" applyNumberFormat="1" applyFont="1" applyBorder="1" applyAlignment="1">
      <alignment horizontal="center" vertical="top" wrapText="1"/>
    </xf>
    <xf numFmtId="49" fontId="9" fillId="0" borderId="18" xfId="0" applyNumberFormat="1" applyFont="1" applyBorder="1" applyAlignment="1">
      <alignment horizontal="center" vertical="top" wrapText="1"/>
    </xf>
    <xf numFmtId="49" fontId="0" fillId="0" borderId="8" xfId="0" applyNumberFormat="1" applyBorder="1" applyAlignment="1">
      <alignment horizontal="center"/>
    </xf>
    <xf numFmtId="49" fontId="0" fillId="0" borderId="10" xfId="0" applyNumberFormat="1" applyBorder="1" applyAlignment="1">
      <alignment vertical="top" wrapText="1"/>
    </xf>
    <xf numFmtId="49" fontId="0" fillId="0" borderId="14" xfId="0" applyNumberFormat="1" applyBorder="1" applyAlignment="1">
      <alignment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>
      <alignment vertical="top" wrapText="1"/>
    </xf>
    <xf numFmtId="49" fontId="0" fillId="0" borderId="2" xfId="0" applyNumberFormat="1" applyBorder="1" applyAlignment="1">
      <alignment vertical="top" wrapText="1"/>
    </xf>
    <xf numFmtId="0" fontId="0" fillId="0" borderId="3" xfId="0" applyFont="1" applyBorder="1" applyAlignment="1">
      <alignment horizontal="left"/>
    </xf>
    <xf numFmtId="3" fontId="0" fillId="0" borderId="1" xfId="0" applyNumberFormat="1" applyBorder="1" applyAlignment="1">
      <alignment horizontal="center" vertical="top" wrapText="1"/>
    </xf>
    <xf numFmtId="3" fontId="0" fillId="0" borderId="2" xfId="0" applyNumberForma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0" fillId="0" borderId="20" xfId="0" applyFont="1" applyBorder="1" applyAlignment="1">
      <alignment horizontal="left"/>
    </xf>
    <xf numFmtId="3" fontId="0" fillId="0" borderId="4" xfId="0" applyNumberFormat="1" applyBorder="1" applyAlignment="1">
      <alignment horizontal="center" vertical="top" wrapText="1"/>
    </xf>
    <xf numFmtId="3" fontId="0" fillId="0" borderId="5" xfId="0" applyNumberFormat="1" applyBorder="1" applyAlignment="1">
      <alignment horizontal="center" vertical="top" wrapText="1"/>
    </xf>
    <xf numFmtId="0" fontId="9" fillId="0" borderId="15" xfId="0" applyFont="1" applyBorder="1" applyAlignment="1">
      <alignment horizontal="left"/>
    </xf>
    <xf numFmtId="3" fontId="9" fillId="0" borderId="16" xfId="0" applyNumberFormat="1" applyFont="1" applyBorder="1" applyAlignment="1">
      <alignment horizontal="center" vertical="top" wrapText="1"/>
    </xf>
    <xf numFmtId="3" fontId="9" fillId="0" borderId="18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left"/>
    </xf>
    <xf numFmtId="3" fontId="0" fillId="0" borderId="10" xfId="0" applyNumberFormat="1" applyBorder="1" applyAlignment="1">
      <alignment horizontal="center" vertical="top" wrapText="1"/>
    </xf>
    <xf numFmtId="3" fontId="0" fillId="0" borderId="14" xfId="0" applyNumberFormat="1" applyBorder="1" applyAlignment="1">
      <alignment horizontal="center" vertical="top" wrapText="1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49" fontId="0" fillId="0" borderId="3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3" fontId="0" fillId="0" borderId="4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4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9" fillId="0" borderId="42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5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17" xfId="0" applyBorder="1" applyAlignment="1">
      <alignment/>
    </xf>
    <xf numFmtId="1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5" xfId="0" applyNumberFormat="1" applyBorder="1" applyAlignment="1">
      <alignment vertical="top" wrapText="1"/>
    </xf>
    <xf numFmtId="49" fontId="0" fillId="0" borderId="16" xfId="0" applyNumberFormat="1" applyBorder="1" applyAlignment="1">
      <alignment vertical="top" wrapText="1"/>
    </xf>
    <xf numFmtId="49" fontId="0" fillId="0" borderId="18" xfId="0" applyNumberFormat="1" applyBorder="1" applyAlignment="1">
      <alignment vertical="top" wrapText="1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/>
    </xf>
    <xf numFmtId="3" fontId="9" fillId="0" borderId="30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/>
    </xf>
    <xf numFmtId="3" fontId="9" fillId="0" borderId="1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/>
    </xf>
    <xf numFmtId="3" fontId="9" fillId="0" borderId="23" xfId="0" applyNumberFormat="1" applyFont="1" applyBorder="1" applyAlignment="1">
      <alignment horizontal="center"/>
    </xf>
    <xf numFmtId="3" fontId="9" fillId="0" borderId="49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0" fillId="0" borderId="3" xfId="0" applyFill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0" fillId="0" borderId="20" xfId="0" applyFill="1" applyBorder="1" applyAlignment="1">
      <alignment/>
    </xf>
    <xf numFmtId="3" fontId="0" fillId="0" borderId="4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9" fillId="0" borderId="15" xfId="0" applyFont="1" applyFill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1" fontId="0" fillId="0" borderId="4" xfId="0" applyNumberFormat="1" applyFont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49" fontId="9" fillId="0" borderId="15" xfId="0" applyNumberFormat="1" applyFont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9" fontId="9" fillId="0" borderId="42" xfId="0" applyNumberFormat="1" applyFont="1" applyBorder="1" applyAlignment="1">
      <alignment/>
    </xf>
    <xf numFmtId="3" fontId="0" fillId="0" borderId="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Q826"/>
  <sheetViews>
    <sheetView view="pageBreakPreview" zoomScaleSheetLayoutView="100" workbookViewId="0" topLeftCell="A1">
      <selection activeCell="N53" sqref="N53"/>
    </sheetView>
  </sheetViews>
  <sheetFormatPr defaultColWidth="9.00390625" defaultRowHeight="12.75"/>
  <cols>
    <col min="1" max="1" width="16.625" style="1" customWidth="1"/>
    <col min="2" max="2" width="11.25390625" style="1" customWidth="1"/>
    <col min="3" max="3" width="12.00390625" style="1" customWidth="1"/>
    <col min="4" max="4" width="14.375" style="1" customWidth="1"/>
    <col min="5" max="5" width="14.125" style="1" customWidth="1"/>
    <col min="6" max="7" width="12.375" style="1" customWidth="1"/>
    <col min="8" max="8" width="12.25390625" style="1" customWidth="1"/>
    <col min="9" max="9" width="11.625" style="1" customWidth="1"/>
    <col min="10" max="10" width="9.125" style="1" customWidth="1"/>
    <col min="11" max="11" width="9.00390625" style="1" customWidth="1"/>
    <col min="12" max="12" width="8.375" style="1" customWidth="1"/>
    <col min="13" max="13" width="7.25390625" style="1" customWidth="1"/>
    <col min="14" max="14" width="7.375" style="1" customWidth="1"/>
    <col min="15" max="15" width="8.75390625" style="1" customWidth="1"/>
    <col min="16" max="22" width="9.125" style="1" customWidth="1"/>
    <col min="23" max="23" width="10.75390625" style="1" customWidth="1"/>
    <col min="24" max="16384" width="9.125" style="1" customWidth="1"/>
  </cols>
  <sheetData>
    <row r="1" spans="3:12" ht="12" customHeight="1">
      <c r="C1" s="91" t="s">
        <v>95</v>
      </c>
      <c r="D1" s="91"/>
      <c r="E1" s="91"/>
      <c r="F1" s="91"/>
      <c r="G1" s="91"/>
      <c r="H1" s="91"/>
      <c r="I1" s="91"/>
      <c r="J1" s="91"/>
      <c r="K1" s="91"/>
      <c r="L1" s="91"/>
    </row>
    <row r="2" spans="3:15" ht="12.75" customHeight="1">
      <c r="C2" s="92"/>
      <c r="D2" s="92"/>
      <c r="E2" s="92"/>
      <c r="F2" s="92"/>
      <c r="G2" s="92"/>
      <c r="H2" s="92"/>
      <c r="I2" s="92"/>
      <c r="J2" s="92"/>
      <c r="K2" s="92"/>
      <c r="L2" s="92"/>
      <c r="O2" s="1" t="s">
        <v>43</v>
      </c>
    </row>
    <row r="3" spans="1:15" ht="12.75" customHeight="1">
      <c r="A3" s="93" t="s">
        <v>34</v>
      </c>
      <c r="B3" s="93" t="s">
        <v>97</v>
      </c>
      <c r="C3" s="93" t="s">
        <v>98</v>
      </c>
      <c r="D3" s="93" t="s">
        <v>111</v>
      </c>
      <c r="E3" s="93" t="s">
        <v>35</v>
      </c>
      <c r="F3" s="93"/>
      <c r="G3" s="93"/>
      <c r="H3" s="93" t="s">
        <v>109</v>
      </c>
      <c r="I3" s="93"/>
      <c r="J3" s="93" t="s">
        <v>35</v>
      </c>
      <c r="K3" s="93"/>
      <c r="L3" s="93"/>
      <c r="M3" s="93"/>
      <c r="N3" s="93"/>
      <c r="O3" s="93"/>
    </row>
    <row r="4" spans="1:15" ht="20.25" customHeight="1">
      <c r="A4" s="93"/>
      <c r="B4" s="93"/>
      <c r="C4" s="93"/>
      <c r="D4" s="93"/>
      <c r="E4" s="93"/>
      <c r="F4" s="93"/>
      <c r="G4" s="93"/>
      <c r="H4" s="93"/>
      <c r="I4" s="93"/>
      <c r="J4" s="93">
        <v>1160</v>
      </c>
      <c r="K4" s="93"/>
      <c r="L4" s="94">
        <v>1163</v>
      </c>
      <c r="M4" s="94"/>
      <c r="N4" s="95" t="s">
        <v>110</v>
      </c>
      <c r="O4" s="95"/>
    </row>
    <row r="5" spans="1:15" ht="19.5" customHeight="1">
      <c r="A5" s="93"/>
      <c r="B5" s="93"/>
      <c r="C5" s="93"/>
      <c r="D5" s="93"/>
      <c r="E5" s="93" t="s">
        <v>107</v>
      </c>
      <c r="F5" s="93" t="s">
        <v>108</v>
      </c>
      <c r="G5" s="93" t="s">
        <v>110</v>
      </c>
      <c r="H5" s="93" t="s">
        <v>37</v>
      </c>
      <c r="I5" s="93" t="s">
        <v>36</v>
      </c>
      <c r="J5" s="93"/>
      <c r="K5" s="93"/>
      <c r="L5" s="94"/>
      <c r="M5" s="94"/>
      <c r="N5" s="95"/>
      <c r="O5" s="95"/>
    </row>
    <row r="6" spans="1:15" ht="48" customHeight="1">
      <c r="A6" s="93"/>
      <c r="B6" s="93"/>
      <c r="C6" s="93"/>
      <c r="D6" s="93"/>
      <c r="E6" s="93"/>
      <c r="F6" s="93"/>
      <c r="G6" s="93"/>
      <c r="H6" s="93"/>
      <c r="I6" s="93"/>
      <c r="J6" s="2" t="s">
        <v>37</v>
      </c>
      <c r="K6" s="2" t="s">
        <v>38</v>
      </c>
      <c r="L6" s="38" t="s">
        <v>37</v>
      </c>
      <c r="M6" s="2" t="s">
        <v>38</v>
      </c>
      <c r="N6" s="2" t="s">
        <v>37</v>
      </c>
      <c r="O6" s="2" t="s">
        <v>38</v>
      </c>
    </row>
    <row r="7" spans="1:199" ht="15">
      <c r="A7" s="66" t="s">
        <v>0</v>
      </c>
      <c r="B7" s="2">
        <v>706</v>
      </c>
      <c r="C7" s="2">
        <v>27</v>
      </c>
      <c r="D7" s="78">
        <v>4062986</v>
      </c>
      <c r="E7" s="5">
        <v>768794</v>
      </c>
      <c r="F7" s="55">
        <v>66149</v>
      </c>
      <c r="G7" s="5">
        <f>2296931+839526</f>
        <v>3136457</v>
      </c>
      <c r="H7" s="5">
        <f>D7/B7</f>
        <v>5754.937677053825</v>
      </c>
      <c r="I7" s="5">
        <f>D7/C7</f>
        <v>150480.96296296295</v>
      </c>
      <c r="J7" s="5">
        <f>E7/B7</f>
        <v>1088.943342776204</v>
      </c>
      <c r="K7" s="5">
        <f>E7/C7</f>
        <v>28473.85185185185</v>
      </c>
      <c r="L7" s="5">
        <f>F7/B7</f>
        <v>93.69546742209631</v>
      </c>
      <c r="M7" s="5">
        <f>F7/C7</f>
        <v>2449.962962962963</v>
      </c>
      <c r="N7" s="5">
        <f>G7/B7</f>
        <v>4442.573654390935</v>
      </c>
      <c r="O7" s="5">
        <f>G7/C7</f>
        <v>116165.07407407407</v>
      </c>
      <c r="P7" s="7"/>
      <c r="Q7" s="7"/>
      <c r="R7" s="7"/>
      <c r="S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</row>
    <row r="8" spans="1:199" ht="15">
      <c r="A8" s="66" t="s">
        <v>1</v>
      </c>
      <c r="B8" s="2">
        <v>237</v>
      </c>
      <c r="C8" s="2">
        <v>10</v>
      </c>
      <c r="D8" s="78">
        <v>1577642</v>
      </c>
      <c r="E8" s="5">
        <v>231133</v>
      </c>
      <c r="F8" s="5">
        <v>41681</v>
      </c>
      <c r="G8" s="5">
        <f>894544+329388</f>
        <v>1223932</v>
      </c>
      <c r="H8" s="5">
        <f aca="true" t="shared" si="0" ref="H8:H38">D8/B8</f>
        <v>6656.717299578059</v>
      </c>
      <c r="I8" s="5">
        <f aca="true" t="shared" si="1" ref="I8:I38">D8/C8</f>
        <v>157764.2</v>
      </c>
      <c r="J8" s="5">
        <f aca="true" t="shared" si="2" ref="J8:J46">E8/B8</f>
        <v>975.2447257383966</v>
      </c>
      <c r="K8" s="5">
        <f aca="true" t="shared" si="3" ref="K8:K46">E8/C8</f>
        <v>23113.3</v>
      </c>
      <c r="L8" s="5">
        <f aca="true" t="shared" si="4" ref="L8:L46">F8/B8</f>
        <v>175.86919831223628</v>
      </c>
      <c r="M8" s="5">
        <f aca="true" t="shared" si="5" ref="M8:M46">F8/C8</f>
        <v>4168.1</v>
      </c>
      <c r="N8" s="5">
        <f aca="true" t="shared" si="6" ref="N8:N45">G8/B8</f>
        <v>5164.270042194093</v>
      </c>
      <c r="O8" s="5">
        <f aca="true" t="shared" si="7" ref="O8:O45">G8/C8</f>
        <v>122393.2</v>
      </c>
      <c r="P8" s="7"/>
      <c r="Q8" s="7"/>
      <c r="R8" s="7"/>
      <c r="S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</row>
    <row r="9" spans="1:199" ht="15">
      <c r="A9" s="66" t="s">
        <v>2</v>
      </c>
      <c r="B9" s="2">
        <v>318</v>
      </c>
      <c r="C9" s="2">
        <v>14</v>
      </c>
      <c r="D9" s="78">
        <v>1961367</v>
      </c>
      <c r="E9" s="5">
        <v>156687</v>
      </c>
      <c r="F9" s="5">
        <v>34574</v>
      </c>
      <c r="G9" s="5">
        <f>1260308+464491</f>
        <v>1724799</v>
      </c>
      <c r="H9" s="5">
        <f t="shared" si="0"/>
        <v>6167.820754716981</v>
      </c>
      <c r="I9" s="5">
        <f t="shared" si="1"/>
        <v>140097.64285714287</v>
      </c>
      <c r="J9" s="5">
        <f>E9/B9</f>
        <v>492.72641509433964</v>
      </c>
      <c r="K9" s="5">
        <f t="shared" si="3"/>
        <v>11191.92857142857</v>
      </c>
      <c r="L9" s="5">
        <f t="shared" si="4"/>
        <v>108.72327044025157</v>
      </c>
      <c r="M9" s="5">
        <f t="shared" si="5"/>
        <v>2469.5714285714284</v>
      </c>
      <c r="N9" s="5">
        <f t="shared" si="6"/>
        <v>5423.896226415094</v>
      </c>
      <c r="O9" s="5">
        <f t="shared" si="7"/>
        <v>123199.92857142857</v>
      </c>
      <c r="P9" s="7"/>
      <c r="Q9" s="7"/>
      <c r="R9" s="7"/>
      <c r="S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</row>
    <row r="10" spans="1:199" ht="15">
      <c r="A10" s="66" t="s">
        <v>3</v>
      </c>
      <c r="B10" s="2">
        <v>620</v>
      </c>
      <c r="C10" s="2">
        <v>25</v>
      </c>
      <c r="D10" s="78">
        <v>3001944</v>
      </c>
      <c r="E10" s="5">
        <v>303888</v>
      </c>
      <c r="F10" s="5">
        <v>78505</v>
      </c>
      <c r="G10" s="5">
        <f>1901800+682563</f>
        <v>2584363</v>
      </c>
      <c r="H10" s="5">
        <f t="shared" si="0"/>
        <v>4841.845161290323</v>
      </c>
      <c r="I10" s="5">
        <f t="shared" si="1"/>
        <v>120077.76</v>
      </c>
      <c r="J10" s="5">
        <f t="shared" si="2"/>
        <v>490.14193548387095</v>
      </c>
      <c r="K10" s="5">
        <f t="shared" si="3"/>
        <v>12155.52</v>
      </c>
      <c r="L10" s="5">
        <f t="shared" si="4"/>
        <v>126.62096774193549</v>
      </c>
      <c r="M10" s="5">
        <f t="shared" si="5"/>
        <v>3140.2</v>
      </c>
      <c r="N10" s="5">
        <f t="shared" si="6"/>
        <v>4168.327419354839</v>
      </c>
      <c r="O10" s="5">
        <f t="shared" si="7"/>
        <v>103374.52</v>
      </c>
      <c r="P10" s="7"/>
      <c r="Q10" s="7"/>
      <c r="R10" s="7"/>
      <c r="S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</row>
    <row r="11" spans="1:199" ht="15">
      <c r="A11" s="66" t="s">
        <v>4</v>
      </c>
      <c r="B11" s="2">
        <v>768</v>
      </c>
      <c r="C11" s="2">
        <v>31</v>
      </c>
      <c r="D11" s="78">
        <v>4385884</v>
      </c>
      <c r="E11" s="5">
        <v>449250</v>
      </c>
      <c r="F11" s="5">
        <v>58546</v>
      </c>
      <c r="G11" s="5">
        <f>2764127+994729</f>
        <v>3758856</v>
      </c>
      <c r="H11" s="5">
        <f t="shared" si="0"/>
        <v>5710.786458333333</v>
      </c>
      <c r="I11" s="5">
        <f t="shared" si="1"/>
        <v>141480.12903225806</v>
      </c>
      <c r="J11" s="5">
        <f t="shared" si="2"/>
        <v>584.9609375</v>
      </c>
      <c r="K11" s="5">
        <f t="shared" si="3"/>
        <v>14491.935483870968</v>
      </c>
      <c r="L11" s="5">
        <f t="shared" si="4"/>
        <v>76.23177083333333</v>
      </c>
      <c r="M11" s="5">
        <f t="shared" si="5"/>
        <v>1888.5806451612902</v>
      </c>
      <c r="N11" s="5">
        <f t="shared" si="6"/>
        <v>4894.34375</v>
      </c>
      <c r="O11" s="5">
        <f t="shared" si="7"/>
        <v>121253.41935483871</v>
      </c>
      <c r="P11" s="7"/>
      <c r="Q11" s="7"/>
      <c r="R11" s="7"/>
      <c r="S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</row>
    <row r="12" spans="1:199" ht="15">
      <c r="A12" s="66" t="s">
        <v>5</v>
      </c>
      <c r="B12" s="2">
        <v>177</v>
      </c>
      <c r="C12" s="2">
        <v>10</v>
      </c>
      <c r="D12" s="78">
        <v>1419802</v>
      </c>
      <c r="E12" s="5">
        <v>261146</v>
      </c>
      <c r="F12" s="5">
        <v>24984</v>
      </c>
      <c r="G12" s="5">
        <f>800931+294551</f>
        <v>1095482</v>
      </c>
      <c r="H12" s="5">
        <f t="shared" si="0"/>
        <v>8021.4802259887</v>
      </c>
      <c r="I12" s="5">
        <f t="shared" si="1"/>
        <v>141980.2</v>
      </c>
      <c r="J12" s="5">
        <f t="shared" si="2"/>
        <v>1475.4011299435028</v>
      </c>
      <c r="K12" s="5">
        <f t="shared" si="3"/>
        <v>26114.6</v>
      </c>
      <c r="L12" s="5">
        <f t="shared" si="4"/>
        <v>141.15254237288136</v>
      </c>
      <c r="M12" s="5">
        <f t="shared" si="5"/>
        <v>2498.4</v>
      </c>
      <c r="N12" s="5">
        <f t="shared" si="6"/>
        <v>6189.163841807909</v>
      </c>
      <c r="O12" s="5">
        <f t="shared" si="7"/>
        <v>109548.2</v>
      </c>
      <c r="P12" s="7"/>
      <c r="Q12" s="7"/>
      <c r="R12" s="7"/>
      <c r="S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</row>
    <row r="13" spans="1:199" ht="15">
      <c r="A13" s="66" t="s">
        <v>6</v>
      </c>
      <c r="B13" s="2">
        <v>943</v>
      </c>
      <c r="C13" s="2">
        <v>33</v>
      </c>
      <c r="D13" s="78">
        <v>5011787</v>
      </c>
      <c r="E13" s="5">
        <v>881080</v>
      </c>
      <c r="F13" s="5">
        <v>96756</v>
      </c>
      <c r="G13" s="5">
        <f>2885221+1041609</f>
        <v>3926830</v>
      </c>
      <c r="H13" s="5">
        <f t="shared" si="0"/>
        <v>5314.726405090138</v>
      </c>
      <c r="I13" s="5">
        <f t="shared" si="1"/>
        <v>151872.33333333334</v>
      </c>
      <c r="J13" s="5">
        <f t="shared" si="2"/>
        <v>934.3372216330858</v>
      </c>
      <c r="K13" s="5">
        <f t="shared" si="3"/>
        <v>26699.39393939394</v>
      </c>
      <c r="L13" s="5">
        <f t="shared" si="4"/>
        <v>102.60445387062566</v>
      </c>
      <c r="M13" s="5">
        <f t="shared" si="5"/>
        <v>2932</v>
      </c>
      <c r="N13" s="5">
        <f t="shared" si="6"/>
        <v>4164.188759278897</v>
      </c>
      <c r="O13" s="5">
        <f t="shared" si="7"/>
        <v>118994.84848484848</v>
      </c>
      <c r="P13" s="7"/>
      <c r="Q13" s="7"/>
      <c r="R13" s="7"/>
      <c r="S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</row>
    <row r="14" spans="1:199" ht="15">
      <c r="A14" s="66" t="s">
        <v>42</v>
      </c>
      <c r="B14" s="2">
        <v>679</v>
      </c>
      <c r="C14" s="2">
        <v>24</v>
      </c>
      <c r="D14" s="78">
        <v>3272442</v>
      </c>
      <c r="E14" s="5">
        <v>465574</v>
      </c>
      <c r="F14" s="5">
        <v>51968</v>
      </c>
      <c r="G14" s="5">
        <f>2055520+731969</f>
        <v>2787489</v>
      </c>
      <c r="H14" s="5">
        <f>D14/B14</f>
        <v>4819.502209131075</v>
      </c>
      <c r="I14" s="5">
        <f>D14/C14</f>
        <v>136351.75</v>
      </c>
      <c r="J14" s="5">
        <f>E14/B14</f>
        <v>685.6759941089838</v>
      </c>
      <c r="K14" s="5">
        <f>E14/C14</f>
        <v>19398.916666666668</v>
      </c>
      <c r="L14" s="5">
        <f>F14/B14</f>
        <v>76.5360824742268</v>
      </c>
      <c r="M14" s="5">
        <f>F14/C14</f>
        <v>2165.3333333333335</v>
      </c>
      <c r="N14" s="5">
        <f>G14/B14</f>
        <v>4105.285714285715</v>
      </c>
      <c r="O14" s="5">
        <f>G14/C14</f>
        <v>116145.375</v>
      </c>
      <c r="P14" s="7"/>
      <c r="Q14" s="7"/>
      <c r="R14" s="7"/>
      <c r="S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</row>
    <row r="15" spans="1:199" ht="15">
      <c r="A15" s="66" t="s">
        <v>7</v>
      </c>
      <c r="B15" s="2">
        <v>369</v>
      </c>
      <c r="C15" s="2">
        <v>15</v>
      </c>
      <c r="D15" s="78">
        <v>2318811</v>
      </c>
      <c r="E15" s="5">
        <v>575208</v>
      </c>
      <c r="F15" s="5">
        <v>30810</v>
      </c>
      <c r="G15" s="5">
        <f>1239512+462287</f>
        <v>1701799</v>
      </c>
      <c r="H15" s="5">
        <f t="shared" si="0"/>
        <v>6284.040650406504</v>
      </c>
      <c r="I15" s="5">
        <f t="shared" si="1"/>
        <v>154587.4</v>
      </c>
      <c r="J15" s="5">
        <f t="shared" si="2"/>
        <v>1558.8292682926829</v>
      </c>
      <c r="K15" s="5">
        <f t="shared" si="3"/>
        <v>38347.2</v>
      </c>
      <c r="L15" s="5">
        <f t="shared" si="4"/>
        <v>83.4959349593496</v>
      </c>
      <c r="M15" s="5">
        <f t="shared" si="5"/>
        <v>2054</v>
      </c>
      <c r="N15" s="5">
        <f t="shared" si="6"/>
        <v>4611.921409214092</v>
      </c>
      <c r="O15" s="5">
        <f t="shared" si="7"/>
        <v>113453.26666666666</v>
      </c>
      <c r="P15" s="7"/>
      <c r="Q15" s="7"/>
      <c r="R15" s="7"/>
      <c r="S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</row>
    <row r="16" spans="1:199" ht="15">
      <c r="A16" s="66" t="s">
        <v>40</v>
      </c>
      <c r="B16" s="2">
        <v>931</v>
      </c>
      <c r="C16" s="2">
        <v>35</v>
      </c>
      <c r="D16" s="78">
        <v>8065307</v>
      </c>
      <c r="E16" s="5">
        <v>643567</v>
      </c>
      <c r="F16" s="5">
        <v>119169</v>
      </c>
      <c r="G16" s="5">
        <f>5285969+1940927</f>
        <v>7226896</v>
      </c>
      <c r="H16" s="5">
        <f t="shared" si="0"/>
        <v>8663.058002148227</v>
      </c>
      <c r="I16" s="5">
        <f t="shared" si="1"/>
        <v>230437.34285714285</v>
      </c>
      <c r="J16" s="5">
        <f t="shared" si="2"/>
        <v>691.2642320085929</v>
      </c>
      <c r="K16" s="5">
        <f t="shared" si="3"/>
        <v>18387.628571428573</v>
      </c>
      <c r="L16" s="5">
        <f t="shared" si="4"/>
        <v>128.00107411385608</v>
      </c>
      <c r="M16" s="5">
        <f t="shared" si="5"/>
        <v>3404.8285714285716</v>
      </c>
      <c r="N16" s="5">
        <f t="shared" si="6"/>
        <v>7762.509129967777</v>
      </c>
      <c r="O16" s="5">
        <f t="shared" si="7"/>
        <v>206482.74285714285</v>
      </c>
      <c r="P16" s="7"/>
      <c r="Q16" s="7"/>
      <c r="R16" s="7"/>
      <c r="S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</row>
    <row r="17" spans="1:199" ht="15">
      <c r="A17" s="66" t="s">
        <v>8</v>
      </c>
      <c r="B17" s="2">
        <v>102</v>
      </c>
      <c r="C17" s="2">
        <v>9</v>
      </c>
      <c r="D17" s="78">
        <v>920020</v>
      </c>
      <c r="E17" s="5">
        <v>47131</v>
      </c>
      <c r="F17" s="5">
        <v>10262</v>
      </c>
      <c r="G17" s="5">
        <f>610568+222409</f>
        <v>832977</v>
      </c>
      <c r="H17" s="5">
        <f t="shared" si="0"/>
        <v>9019.803921568628</v>
      </c>
      <c r="I17" s="5">
        <f t="shared" si="1"/>
        <v>102224.44444444444</v>
      </c>
      <c r="J17" s="5">
        <f t="shared" si="2"/>
        <v>462.0686274509804</v>
      </c>
      <c r="K17" s="5">
        <f t="shared" si="3"/>
        <v>5236.777777777777</v>
      </c>
      <c r="L17" s="5">
        <f t="shared" si="4"/>
        <v>100.6078431372549</v>
      </c>
      <c r="M17" s="5">
        <f t="shared" si="5"/>
        <v>1140.2222222222222</v>
      </c>
      <c r="N17" s="5">
        <f t="shared" si="6"/>
        <v>8166.441176470588</v>
      </c>
      <c r="O17" s="5">
        <f t="shared" si="7"/>
        <v>92553</v>
      </c>
      <c r="P17" s="7"/>
      <c r="Q17" s="7"/>
      <c r="R17" s="7"/>
      <c r="S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</row>
    <row r="18" spans="1:199" ht="15">
      <c r="A18" s="66" t="s">
        <v>9</v>
      </c>
      <c r="B18" s="2">
        <v>295</v>
      </c>
      <c r="C18" s="2">
        <v>13</v>
      </c>
      <c r="D18" s="78">
        <v>2496499</v>
      </c>
      <c r="E18" s="5">
        <f>562411-3179</f>
        <v>559232</v>
      </c>
      <c r="F18" s="5">
        <v>70097</v>
      </c>
      <c r="G18" s="5">
        <f>1320413+478950</f>
        <v>1799363</v>
      </c>
      <c r="H18" s="5">
        <f t="shared" si="0"/>
        <v>8462.708474576271</v>
      </c>
      <c r="I18" s="5">
        <f t="shared" si="1"/>
        <v>192038.38461538462</v>
      </c>
      <c r="J18" s="5">
        <f t="shared" si="2"/>
        <v>1895.7016949152542</v>
      </c>
      <c r="K18" s="5">
        <f t="shared" si="3"/>
        <v>43017.846153846156</v>
      </c>
      <c r="L18" s="5">
        <f t="shared" si="4"/>
        <v>237.61694915254236</v>
      </c>
      <c r="M18" s="5">
        <f t="shared" si="5"/>
        <v>5392.076923076923</v>
      </c>
      <c r="N18" s="5">
        <f t="shared" si="6"/>
        <v>6099.535593220339</v>
      </c>
      <c r="O18" s="5">
        <f t="shared" si="7"/>
        <v>138412.53846153847</v>
      </c>
      <c r="P18" s="7"/>
      <c r="Q18" s="7"/>
      <c r="R18" s="7"/>
      <c r="S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</row>
    <row r="19" spans="1:199" ht="15">
      <c r="A19" s="66" t="s">
        <v>10</v>
      </c>
      <c r="B19" s="2">
        <v>577</v>
      </c>
      <c r="C19" s="2">
        <v>34</v>
      </c>
      <c r="D19" s="78">
        <v>3447397</v>
      </c>
      <c r="E19" s="5">
        <v>439740</v>
      </c>
      <c r="F19" s="5">
        <v>60507</v>
      </c>
      <c r="G19" s="5">
        <f>2100073+768093</f>
        <v>2868166</v>
      </c>
      <c r="H19" s="5">
        <f t="shared" si="0"/>
        <v>5974.69150779896</v>
      </c>
      <c r="I19" s="5">
        <f t="shared" si="1"/>
        <v>101394.0294117647</v>
      </c>
      <c r="J19" s="5">
        <f t="shared" si="2"/>
        <v>762.1143847487002</v>
      </c>
      <c r="K19" s="5">
        <f t="shared" si="3"/>
        <v>12933.529411764706</v>
      </c>
      <c r="L19" s="5">
        <f t="shared" si="4"/>
        <v>104.86481802426343</v>
      </c>
      <c r="M19" s="5">
        <f t="shared" si="5"/>
        <v>1779.6176470588234</v>
      </c>
      <c r="N19" s="5">
        <f t="shared" si="6"/>
        <v>4970.8249566724435</v>
      </c>
      <c r="O19" s="5">
        <f t="shared" si="7"/>
        <v>84357.82352941176</v>
      </c>
      <c r="P19" s="7"/>
      <c r="Q19" s="7"/>
      <c r="R19" s="7"/>
      <c r="S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</row>
    <row r="20" spans="1:199" ht="15">
      <c r="A20" s="66" t="s">
        <v>11</v>
      </c>
      <c r="B20" s="2">
        <v>262</v>
      </c>
      <c r="C20" s="2">
        <v>11</v>
      </c>
      <c r="D20" s="78">
        <v>1756129</v>
      </c>
      <c r="E20" s="5">
        <v>245256</v>
      </c>
      <c r="F20" s="5">
        <v>33011</v>
      </c>
      <c r="G20" s="5">
        <f>1032500+381550</f>
        <v>1414050</v>
      </c>
      <c r="H20" s="5">
        <f t="shared" si="0"/>
        <v>6702.782442748092</v>
      </c>
      <c r="I20" s="5">
        <f t="shared" si="1"/>
        <v>159648.0909090909</v>
      </c>
      <c r="J20" s="5">
        <f t="shared" si="2"/>
        <v>936.0916030534352</v>
      </c>
      <c r="K20" s="5">
        <f t="shared" si="3"/>
        <v>22296</v>
      </c>
      <c r="L20" s="5">
        <f t="shared" si="4"/>
        <v>125.99618320610686</v>
      </c>
      <c r="M20" s="5">
        <f t="shared" si="5"/>
        <v>3001</v>
      </c>
      <c r="N20" s="5">
        <f t="shared" si="6"/>
        <v>5397.137404580153</v>
      </c>
      <c r="O20" s="5">
        <f t="shared" si="7"/>
        <v>128550</v>
      </c>
      <c r="P20" s="7"/>
      <c r="Q20" s="7"/>
      <c r="R20" s="7"/>
      <c r="S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</row>
    <row r="21" spans="1:199" ht="15">
      <c r="A21" s="66" t="s">
        <v>12</v>
      </c>
      <c r="B21" s="2">
        <v>892</v>
      </c>
      <c r="C21" s="2">
        <v>31</v>
      </c>
      <c r="D21" s="78">
        <v>4268661</v>
      </c>
      <c r="E21" s="5">
        <v>729065</v>
      </c>
      <c r="F21" s="5">
        <v>70540</v>
      </c>
      <c r="G21" s="5">
        <f>2502865+917694</f>
        <v>3420559</v>
      </c>
      <c r="H21" s="5">
        <f t="shared" si="0"/>
        <v>4785.494394618834</v>
      </c>
      <c r="I21" s="5">
        <f t="shared" si="1"/>
        <v>137698.74193548388</v>
      </c>
      <c r="J21" s="5">
        <f t="shared" si="2"/>
        <v>817.3374439461884</v>
      </c>
      <c r="K21" s="5">
        <f t="shared" si="3"/>
        <v>23518.225806451614</v>
      </c>
      <c r="L21" s="5">
        <f t="shared" si="4"/>
        <v>79.08071748878923</v>
      </c>
      <c r="M21" s="5">
        <f t="shared" si="5"/>
        <v>2275.483870967742</v>
      </c>
      <c r="N21" s="5">
        <f t="shared" si="6"/>
        <v>3834.707399103139</v>
      </c>
      <c r="O21" s="5">
        <f t="shared" si="7"/>
        <v>110340.6129032258</v>
      </c>
      <c r="P21" s="7"/>
      <c r="Q21" s="7"/>
      <c r="R21" s="7"/>
      <c r="S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</row>
    <row r="22" spans="1:199" ht="15" customHeight="1">
      <c r="A22" s="66" t="s">
        <v>14</v>
      </c>
      <c r="B22" s="2">
        <v>1409</v>
      </c>
      <c r="C22" s="2">
        <v>49</v>
      </c>
      <c r="D22" s="78">
        <v>5621537</v>
      </c>
      <c r="E22" s="5">
        <v>185761</v>
      </c>
      <c r="F22" s="5">
        <v>135157</v>
      </c>
      <c r="G22" s="5">
        <f>3735296+1370571</f>
        <v>5105867</v>
      </c>
      <c r="H22" s="5">
        <f t="shared" si="0"/>
        <v>3989.735273243435</v>
      </c>
      <c r="I22" s="5">
        <f t="shared" si="1"/>
        <v>114725.24489795919</v>
      </c>
      <c r="J22" s="5">
        <f t="shared" si="2"/>
        <v>131.8388928317956</v>
      </c>
      <c r="K22" s="5">
        <f t="shared" si="3"/>
        <v>3791.0408163265306</v>
      </c>
      <c r="L22" s="5">
        <f t="shared" si="4"/>
        <v>95.92405961674947</v>
      </c>
      <c r="M22" s="5">
        <f t="shared" si="5"/>
        <v>2758.3061224489797</v>
      </c>
      <c r="N22" s="5">
        <f t="shared" si="6"/>
        <v>3623.752306600426</v>
      </c>
      <c r="O22" s="5">
        <f t="shared" si="7"/>
        <v>104201.36734693877</v>
      </c>
      <c r="P22" s="7"/>
      <c r="Q22" s="7"/>
      <c r="R22" s="7"/>
      <c r="S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</row>
    <row r="23" spans="1:199" ht="15">
      <c r="A23" s="66" t="s">
        <v>15</v>
      </c>
      <c r="B23" s="2">
        <v>551</v>
      </c>
      <c r="C23" s="2">
        <v>21</v>
      </c>
      <c r="D23" s="78">
        <v>3515043</v>
      </c>
      <c r="E23" s="5">
        <v>943822</v>
      </c>
      <c r="F23" s="5">
        <v>72799</v>
      </c>
      <c r="G23" s="5">
        <f>1776504+652640</f>
        <v>2429144</v>
      </c>
      <c r="H23" s="5">
        <f t="shared" si="0"/>
        <v>6379.3883847549905</v>
      </c>
      <c r="I23" s="5">
        <f t="shared" si="1"/>
        <v>167383</v>
      </c>
      <c r="J23" s="5">
        <f t="shared" si="2"/>
        <v>1712.9255898366607</v>
      </c>
      <c r="K23" s="5">
        <f t="shared" si="3"/>
        <v>44943.90476190476</v>
      </c>
      <c r="L23" s="5">
        <f t="shared" si="4"/>
        <v>132.12159709618874</v>
      </c>
      <c r="M23" s="5">
        <f t="shared" si="5"/>
        <v>3466.6190476190477</v>
      </c>
      <c r="N23" s="5">
        <f t="shared" si="6"/>
        <v>4408.609800362977</v>
      </c>
      <c r="O23" s="5">
        <f t="shared" si="7"/>
        <v>115673.52380952382</v>
      </c>
      <c r="P23" s="7"/>
      <c r="Q23" s="7"/>
      <c r="R23" s="7"/>
      <c r="S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</row>
    <row r="24" spans="1:199" ht="15">
      <c r="A24" s="66" t="s">
        <v>16</v>
      </c>
      <c r="B24" s="2">
        <v>741</v>
      </c>
      <c r="C24" s="2">
        <v>28</v>
      </c>
      <c r="D24" s="78">
        <v>3485732</v>
      </c>
      <c r="E24" s="5">
        <v>402659</v>
      </c>
      <c r="F24" s="5">
        <v>129208</v>
      </c>
      <c r="G24" s="5">
        <f>2114550+776449</f>
        <v>2890999</v>
      </c>
      <c r="H24" s="5">
        <f t="shared" si="0"/>
        <v>4704.091767881241</v>
      </c>
      <c r="I24" s="5">
        <f t="shared" si="1"/>
        <v>124490.42857142857</v>
      </c>
      <c r="J24" s="5">
        <f t="shared" si="2"/>
        <v>543.3994601889339</v>
      </c>
      <c r="K24" s="5">
        <f t="shared" si="3"/>
        <v>14380.67857142857</v>
      </c>
      <c r="L24" s="5">
        <f t="shared" si="4"/>
        <v>174.3697705802969</v>
      </c>
      <c r="M24" s="5">
        <f t="shared" si="5"/>
        <v>4614.571428571428</v>
      </c>
      <c r="N24" s="5">
        <f t="shared" si="6"/>
        <v>3901.4831309041833</v>
      </c>
      <c r="O24" s="5">
        <f t="shared" si="7"/>
        <v>103249.96428571429</v>
      </c>
      <c r="P24" s="7"/>
      <c r="Q24" s="7"/>
      <c r="R24" s="7"/>
      <c r="S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</row>
    <row r="25" spans="1:199" ht="15">
      <c r="A25" s="66" t="s">
        <v>17</v>
      </c>
      <c r="B25" s="2">
        <v>252</v>
      </c>
      <c r="C25" s="2">
        <v>11</v>
      </c>
      <c r="D25" s="78">
        <v>1926037</v>
      </c>
      <c r="E25" s="5">
        <v>228989</v>
      </c>
      <c r="F25" s="5">
        <v>46024</v>
      </c>
      <c r="G25" s="5">
        <f>1175960+409290</f>
        <v>1585250</v>
      </c>
      <c r="H25" s="5">
        <f t="shared" si="0"/>
        <v>7643.003968253968</v>
      </c>
      <c r="I25" s="5">
        <f t="shared" si="1"/>
        <v>175094.27272727274</v>
      </c>
      <c r="J25" s="5">
        <f t="shared" si="2"/>
        <v>908.686507936508</v>
      </c>
      <c r="K25" s="5">
        <f t="shared" si="3"/>
        <v>20817.18181818182</v>
      </c>
      <c r="L25" s="5">
        <f t="shared" si="4"/>
        <v>182.63492063492063</v>
      </c>
      <c r="M25" s="5">
        <f t="shared" si="5"/>
        <v>4184</v>
      </c>
      <c r="N25" s="5">
        <f t="shared" si="6"/>
        <v>6290.674603174603</v>
      </c>
      <c r="O25" s="5">
        <f t="shared" si="7"/>
        <v>144113.63636363635</v>
      </c>
      <c r="P25" s="7"/>
      <c r="Q25" s="7"/>
      <c r="R25" s="7"/>
      <c r="S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</row>
    <row r="26" spans="1:199" ht="15">
      <c r="A26" s="66" t="s">
        <v>18</v>
      </c>
      <c r="B26" s="2">
        <v>456</v>
      </c>
      <c r="C26" s="2">
        <v>18</v>
      </c>
      <c r="D26" s="78">
        <v>2293447</v>
      </c>
      <c r="E26" s="5">
        <v>298451</v>
      </c>
      <c r="F26" s="5">
        <v>31639</v>
      </c>
      <c r="G26" s="5">
        <f>1375751+509733</f>
        <v>1885484</v>
      </c>
      <c r="H26" s="5">
        <f t="shared" si="0"/>
        <v>5029.4890350877195</v>
      </c>
      <c r="I26" s="5">
        <f t="shared" si="1"/>
        <v>127413.72222222222</v>
      </c>
      <c r="J26" s="5">
        <f t="shared" si="2"/>
        <v>654.4978070175439</v>
      </c>
      <c r="K26" s="5">
        <f t="shared" si="3"/>
        <v>16580.61111111111</v>
      </c>
      <c r="L26" s="5">
        <f t="shared" si="4"/>
        <v>69.38377192982456</v>
      </c>
      <c r="M26" s="5">
        <f t="shared" si="5"/>
        <v>1757.7222222222222</v>
      </c>
      <c r="N26" s="5">
        <f t="shared" si="6"/>
        <v>4134.833333333333</v>
      </c>
      <c r="O26" s="5">
        <f t="shared" si="7"/>
        <v>104749.11111111111</v>
      </c>
      <c r="P26" s="7"/>
      <c r="Q26" s="7"/>
      <c r="R26" s="7"/>
      <c r="S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</row>
    <row r="27" spans="1:199" ht="15">
      <c r="A27" s="66" t="s">
        <v>19</v>
      </c>
      <c r="B27" s="2">
        <v>268</v>
      </c>
      <c r="C27" s="2">
        <v>12</v>
      </c>
      <c r="D27" s="78">
        <v>1761532</v>
      </c>
      <c r="E27" s="5">
        <v>195038</v>
      </c>
      <c r="F27" s="5">
        <v>30246</v>
      </c>
      <c r="G27" s="5">
        <f>1071175+397819</f>
        <v>1468994</v>
      </c>
      <c r="H27" s="5">
        <f t="shared" si="0"/>
        <v>6572.880597014925</v>
      </c>
      <c r="I27" s="5">
        <f t="shared" si="1"/>
        <v>146794.33333333334</v>
      </c>
      <c r="J27" s="5">
        <f t="shared" si="2"/>
        <v>727.7537313432836</v>
      </c>
      <c r="K27" s="5">
        <f t="shared" si="3"/>
        <v>16253.166666666666</v>
      </c>
      <c r="L27" s="5">
        <f t="shared" si="4"/>
        <v>112.85820895522389</v>
      </c>
      <c r="M27" s="5">
        <f t="shared" si="5"/>
        <v>2520.5</v>
      </c>
      <c r="N27" s="5">
        <f t="shared" si="6"/>
        <v>5481.320895522388</v>
      </c>
      <c r="O27" s="5">
        <f t="shared" si="7"/>
        <v>122416.16666666667</v>
      </c>
      <c r="P27" s="7"/>
      <c r="Q27" s="7"/>
      <c r="R27" s="7"/>
      <c r="S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</row>
    <row r="28" spans="1:199" ht="15">
      <c r="A28" s="66" t="s">
        <v>20</v>
      </c>
      <c r="B28" s="2">
        <v>398</v>
      </c>
      <c r="C28" s="2">
        <v>15</v>
      </c>
      <c r="D28" s="78">
        <v>2301873</v>
      </c>
      <c r="E28" s="5">
        <v>398447</v>
      </c>
      <c r="F28" s="5">
        <v>40688</v>
      </c>
      <c r="G28" s="5">
        <f>1328857+493382</f>
        <v>1822239</v>
      </c>
      <c r="H28" s="5">
        <f t="shared" si="0"/>
        <v>5783.600502512563</v>
      </c>
      <c r="I28" s="5">
        <f t="shared" si="1"/>
        <v>153458.2</v>
      </c>
      <c r="J28" s="5">
        <f t="shared" si="2"/>
        <v>1001.1231155778894</v>
      </c>
      <c r="K28" s="5">
        <f t="shared" si="3"/>
        <v>26563.133333333335</v>
      </c>
      <c r="L28" s="5">
        <f t="shared" si="4"/>
        <v>102.23115577889448</v>
      </c>
      <c r="M28" s="5">
        <f t="shared" si="5"/>
        <v>2712.5333333333333</v>
      </c>
      <c r="N28" s="5">
        <f t="shared" si="6"/>
        <v>4578.489949748744</v>
      </c>
      <c r="O28" s="5">
        <f t="shared" si="7"/>
        <v>121482.6</v>
      </c>
      <c r="P28" s="7"/>
      <c r="Q28" s="7"/>
      <c r="R28" s="7"/>
      <c r="S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</row>
    <row r="29" spans="1:199" ht="15">
      <c r="A29" s="66" t="s">
        <v>22</v>
      </c>
      <c r="B29" s="2">
        <v>957</v>
      </c>
      <c r="C29" s="2">
        <v>35</v>
      </c>
      <c r="D29" s="78">
        <v>4430678</v>
      </c>
      <c r="E29" s="5">
        <v>530315</v>
      </c>
      <c r="F29" s="5">
        <v>108593</v>
      </c>
      <c r="G29" s="5">
        <f>2708061+997698</f>
        <v>3705759</v>
      </c>
      <c r="H29" s="5">
        <f t="shared" si="0"/>
        <v>4629.757575757576</v>
      </c>
      <c r="I29" s="5">
        <f t="shared" si="1"/>
        <v>126590.8</v>
      </c>
      <c r="J29" s="5">
        <f>E29/B29</f>
        <v>554.1431556948799</v>
      </c>
      <c r="K29" s="5">
        <f t="shared" si="3"/>
        <v>15151.857142857143</v>
      </c>
      <c r="L29" s="5">
        <f t="shared" si="4"/>
        <v>113.47230929989551</v>
      </c>
      <c r="M29" s="5">
        <f t="shared" si="5"/>
        <v>3102.657142857143</v>
      </c>
      <c r="N29" s="5">
        <f t="shared" si="6"/>
        <v>3872.266457680251</v>
      </c>
      <c r="O29" s="5">
        <f t="shared" si="7"/>
        <v>105878.82857142857</v>
      </c>
      <c r="P29" s="7"/>
      <c r="Q29" s="7"/>
      <c r="R29" s="7"/>
      <c r="S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</row>
    <row r="30" spans="1:199" ht="15">
      <c r="A30" s="66" t="s">
        <v>23</v>
      </c>
      <c r="B30" s="2">
        <v>516</v>
      </c>
      <c r="C30" s="2">
        <v>21</v>
      </c>
      <c r="D30" s="78">
        <v>3119251</v>
      </c>
      <c r="E30" s="5">
        <v>653758</v>
      </c>
      <c r="F30" s="5">
        <v>36161</v>
      </c>
      <c r="G30" s="5">
        <f>1757651+633646</f>
        <v>2391297</v>
      </c>
      <c r="H30" s="5">
        <f t="shared" si="0"/>
        <v>6045.06007751938</v>
      </c>
      <c r="I30" s="5">
        <f t="shared" si="1"/>
        <v>148535.7619047619</v>
      </c>
      <c r="J30" s="5">
        <f t="shared" si="2"/>
        <v>1266.9728682170542</v>
      </c>
      <c r="K30" s="5">
        <f t="shared" si="3"/>
        <v>31131.333333333332</v>
      </c>
      <c r="L30" s="5">
        <f t="shared" si="4"/>
        <v>70.07945736434108</v>
      </c>
      <c r="M30" s="5">
        <f t="shared" si="5"/>
        <v>1721.952380952381</v>
      </c>
      <c r="N30" s="5">
        <f t="shared" si="6"/>
        <v>4634.296511627907</v>
      </c>
      <c r="O30" s="5">
        <f t="shared" si="7"/>
        <v>113871.28571428571</v>
      </c>
      <c r="P30" s="7"/>
      <c r="Q30" s="7"/>
      <c r="R30" s="7"/>
      <c r="S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</row>
    <row r="31" spans="1:199" ht="15">
      <c r="A31" s="66" t="s">
        <v>24</v>
      </c>
      <c r="B31" s="2">
        <v>231</v>
      </c>
      <c r="C31" s="2">
        <v>10</v>
      </c>
      <c r="D31" s="78">
        <v>1396874</v>
      </c>
      <c r="E31" s="5">
        <v>157353</v>
      </c>
      <c r="F31" s="5">
        <v>21286</v>
      </c>
      <c r="G31" s="5">
        <f>852636+302333</f>
        <v>1154969</v>
      </c>
      <c r="H31" s="5">
        <f t="shared" si="0"/>
        <v>6047.073593073593</v>
      </c>
      <c r="I31" s="5">
        <f t="shared" si="1"/>
        <v>139687.4</v>
      </c>
      <c r="J31" s="5">
        <f t="shared" si="2"/>
        <v>681.1818181818181</v>
      </c>
      <c r="K31" s="5">
        <f t="shared" si="3"/>
        <v>15735.3</v>
      </c>
      <c r="L31" s="5">
        <f t="shared" si="4"/>
        <v>92.14718614718615</v>
      </c>
      <c r="M31" s="5">
        <f t="shared" si="5"/>
        <v>2128.6</v>
      </c>
      <c r="N31" s="5">
        <f t="shared" si="6"/>
        <v>4999.865800865801</v>
      </c>
      <c r="O31" s="5">
        <f t="shared" si="7"/>
        <v>115496.9</v>
      </c>
      <c r="P31" s="7"/>
      <c r="Q31" s="7"/>
      <c r="R31" s="7"/>
      <c r="S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</row>
    <row r="32" spans="1:199" ht="15">
      <c r="A32" s="66" t="s">
        <v>25</v>
      </c>
      <c r="B32" s="2">
        <v>787</v>
      </c>
      <c r="C32" s="2">
        <v>29</v>
      </c>
      <c r="D32" s="78">
        <v>4754962</v>
      </c>
      <c r="E32" s="5">
        <v>1176095</v>
      </c>
      <c r="F32" s="5">
        <v>122193</v>
      </c>
      <c r="G32" s="5">
        <f>2409629+890776</f>
        <v>3300405</v>
      </c>
      <c r="H32" s="5">
        <f t="shared" si="0"/>
        <v>6041.883100381195</v>
      </c>
      <c r="I32" s="5">
        <f t="shared" si="1"/>
        <v>163964.2068965517</v>
      </c>
      <c r="J32" s="5">
        <f t="shared" si="2"/>
        <v>1494.4027954256671</v>
      </c>
      <c r="K32" s="5">
        <f t="shared" si="3"/>
        <v>40555</v>
      </c>
      <c r="L32" s="5">
        <f t="shared" si="4"/>
        <v>155.2642947903431</v>
      </c>
      <c r="M32" s="5">
        <f t="shared" si="5"/>
        <v>4213.551724137931</v>
      </c>
      <c r="N32" s="5">
        <f t="shared" si="6"/>
        <v>4193.653113087675</v>
      </c>
      <c r="O32" s="5">
        <f t="shared" si="7"/>
        <v>113807.06896551725</v>
      </c>
      <c r="P32" s="7"/>
      <c r="Q32" s="7"/>
      <c r="R32" s="7"/>
      <c r="S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</row>
    <row r="33" spans="1:199" ht="15">
      <c r="A33" s="66" t="s">
        <v>27</v>
      </c>
      <c r="B33" s="2">
        <v>301</v>
      </c>
      <c r="C33" s="2">
        <v>13</v>
      </c>
      <c r="D33" s="78">
        <v>1781905</v>
      </c>
      <c r="E33" s="5">
        <v>173809</v>
      </c>
      <c r="F33" s="5">
        <v>42993</v>
      </c>
      <c r="G33" s="5">
        <f>1078981+404416</f>
        <v>1483397</v>
      </c>
      <c r="H33" s="5">
        <f t="shared" si="0"/>
        <v>5919.950166112957</v>
      </c>
      <c r="I33" s="5">
        <f t="shared" si="1"/>
        <v>137069.61538461538</v>
      </c>
      <c r="J33" s="5">
        <f t="shared" si="2"/>
        <v>577.4385382059801</v>
      </c>
      <c r="K33" s="5">
        <f t="shared" si="3"/>
        <v>13369.923076923076</v>
      </c>
      <c r="L33" s="5">
        <f t="shared" si="4"/>
        <v>142.83388704318938</v>
      </c>
      <c r="M33" s="5">
        <f t="shared" si="5"/>
        <v>3307.153846153846</v>
      </c>
      <c r="N33" s="5">
        <f t="shared" si="6"/>
        <v>4928.229235880399</v>
      </c>
      <c r="O33" s="5">
        <f t="shared" si="7"/>
        <v>114107.46153846153</v>
      </c>
      <c r="P33" s="7"/>
      <c r="Q33" s="7"/>
      <c r="R33" s="7"/>
      <c r="S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</row>
    <row r="34" spans="1:199" ht="15">
      <c r="A34" s="66" t="s">
        <v>28</v>
      </c>
      <c r="B34" s="2">
        <v>815</v>
      </c>
      <c r="C34" s="2">
        <v>30</v>
      </c>
      <c r="D34" s="78">
        <v>3669376</v>
      </c>
      <c r="E34" s="5">
        <v>379042</v>
      </c>
      <c r="F34" s="5">
        <v>77228</v>
      </c>
      <c r="G34" s="5">
        <f>2266249+814648</f>
        <v>3080897</v>
      </c>
      <c r="H34" s="5">
        <f t="shared" si="0"/>
        <v>4502.301840490798</v>
      </c>
      <c r="I34" s="5">
        <f t="shared" si="1"/>
        <v>122312.53333333334</v>
      </c>
      <c r="J34" s="5">
        <f t="shared" si="2"/>
        <v>465.08220858895703</v>
      </c>
      <c r="K34" s="5">
        <f t="shared" si="3"/>
        <v>12634.733333333334</v>
      </c>
      <c r="L34" s="5">
        <f t="shared" si="4"/>
        <v>94.75828220858895</v>
      </c>
      <c r="M34" s="5">
        <f t="shared" si="5"/>
        <v>2574.266666666667</v>
      </c>
      <c r="N34" s="5">
        <f t="shared" si="6"/>
        <v>3780.2417177914112</v>
      </c>
      <c r="O34" s="5">
        <f t="shared" si="7"/>
        <v>102696.56666666667</v>
      </c>
      <c r="P34" s="7"/>
      <c r="Q34" s="7"/>
      <c r="R34" s="7"/>
      <c r="S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</row>
    <row r="35" spans="1:199" ht="15">
      <c r="A35" s="66" t="s">
        <v>29</v>
      </c>
      <c r="B35" s="2">
        <v>719</v>
      </c>
      <c r="C35" s="2">
        <v>28</v>
      </c>
      <c r="D35" s="78">
        <v>4023938</v>
      </c>
      <c r="E35" s="5">
        <v>593742</v>
      </c>
      <c r="F35" s="5">
        <v>88012</v>
      </c>
      <c r="G35" s="5">
        <f>2403941+873559</f>
        <v>3277500</v>
      </c>
      <c r="H35" s="5">
        <f t="shared" si="0"/>
        <v>5596.575799721836</v>
      </c>
      <c r="I35" s="5">
        <f t="shared" si="1"/>
        <v>143712.07142857142</v>
      </c>
      <c r="J35" s="5">
        <f t="shared" si="2"/>
        <v>825.78859527121</v>
      </c>
      <c r="K35" s="5">
        <f t="shared" si="3"/>
        <v>21205.071428571428</v>
      </c>
      <c r="L35" s="5">
        <f t="shared" si="4"/>
        <v>122.40890125173853</v>
      </c>
      <c r="M35" s="5">
        <f t="shared" si="5"/>
        <v>3143.285714285714</v>
      </c>
      <c r="N35" s="5">
        <f t="shared" si="6"/>
        <v>4558.414464534075</v>
      </c>
      <c r="O35" s="5">
        <f t="shared" si="7"/>
        <v>117053.57142857143</v>
      </c>
      <c r="P35" s="7"/>
      <c r="Q35" s="7"/>
      <c r="R35" s="7"/>
      <c r="S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</row>
    <row r="36" spans="1:199" ht="18.75" customHeight="1">
      <c r="A36" s="66" t="s">
        <v>30</v>
      </c>
      <c r="B36" s="2">
        <v>294</v>
      </c>
      <c r="C36" s="2">
        <v>11</v>
      </c>
      <c r="D36" s="78">
        <v>1402925</v>
      </c>
      <c r="E36" s="5">
        <v>172769</v>
      </c>
      <c r="F36" s="5">
        <v>30253</v>
      </c>
      <c r="G36" s="5">
        <f>831794+301527</f>
        <v>1133321</v>
      </c>
      <c r="H36" s="5">
        <f t="shared" si="0"/>
        <v>4771.853741496599</v>
      </c>
      <c r="I36" s="5">
        <f t="shared" si="1"/>
        <v>127538.63636363637</v>
      </c>
      <c r="J36" s="5">
        <f t="shared" si="2"/>
        <v>587.6496598639455</v>
      </c>
      <c r="K36" s="5">
        <f t="shared" si="3"/>
        <v>15706.272727272728</v>
      </c>
      <c r="L36" s="5">
        <f t="shared" si="4"/>
        <v>102.90136054421768</v>
      </c>
      <c r="M36" s="5">
        <f t="shared" si="5"/>
        <v>2750.2727272727275</v>
      </c>
      <c r="N36" s="5">
        <f t="shared" si="6"/>
        <v>3854.8333333333335</v>
      </c>
      <c r="O36" s="5">
        <f t="shared" si="7"/>
        <v>103029.18181818182</v>
      </c>
      <c r="P36" s="7"/>
      <c r="Q36" s="7"/>
      <c r="R36" s="7"/>
      <c r="S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</row>
    <row r="37" spans="1:199" ht="18.75" customHeight="1">
      <c r="A37" s="66" t="s">
        <v>39</v>
      </c>
      <c r="B37" s="2">
        <v>520</v>
      </c>
      <c r="C37" s="2">
        <v>17</v>
      </c>
      <c r="D37" s="78">
        <v>2160109</v>
      </c>
      <c r="E37" s="5">
        <v>214309</v>
      </c>
      <c r="F37" s="5">
        <v>33911</v>
      </c>
      <c r="G37" s="5">
        <f>1207201+430186</f>
        <v>1637387</v>
      </c>
      <c r="H37" s="5">
        <f t="shared" si="0"/>
        <v>4154.055769230769</v>
      </c>
      <c r="I37" s="5">
        <f t="shared" si="1"/>
        <v>127065.23529411765</v>
      </c>
      <c r="J37" s="5">
        <f t="shared" si="2"/>
        <v>412.1326923076923</v>
      </c>
      <c r="K37" s="5">
        <f t="shared" si="3"/>
        <v>12606.411764705883</v>
      </c>
      <c r="L37" s="5">
        <f t="shared" si="4"/>
        <v>65.21346153846154</v>
      </c>
      <c r="M37" s="5">
        <f t="shared" si="5"/>
        <v>1994.764705882353</v>
      </c>
      <c r="N37" s="5">
        <f t="shared" si="6"/>
        <v>3148.8211538461537</v>
      </c>
      <c r="O37" s="5">
        <f t="shared" si="7"/>
        <v>96316.88235294117</v>
      </c>
      <c r="P37" s="7"/>
      <c r="Q37" s="7"/>
      <c r="R37" s="7"/>
      <c r="S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</row>
    <row r="38" spans="1:199" ht="27.75" customHeight="1">
      <c r="A38" s="82" t="s">
        <v>31</v>
      </c>
      <c r="B38" s="2">
        <v>208</v>
      </c>
      <c r="C38" s="2">
        <v>8</v>
      </c>
      <c r="D38" s="78">
        <v>1396993</v>
      </c>
      <c r="E38" s="5">
        <v>83</v>
      </c>
      <c r="F38" s="5">
        <v>0</v>
      </c>
      <c r="G38" s="5">
        <f>1031582+357798</f>
        <v>1389380</v>
      </c>
      <c r="H38" s="5">
        <f t="shared" si="0"/>
        <v>6716.3125</v>
      </c>
      <c r="I38" s="5">
        <f t="shared" si="1"/>
        <v>174624.125</v>
      </c>
      <c r="J38" s="5">
        <f t="shared" si="2"/>
        <v>0.39903846153846156</v>
      </c>
      <c r="K38" s="5">
        <f t="shared" si="3"/>
        <v>10.375</v>
      </c>
      <c r="L38" s="5">
        <f t="shared" si="4"/>
        <v>0</v>
      </c>
      <c r="M38" s="5">
        <f t="shared" si="5"/>
        <v>0</v>
      </c>
      <c r="N38" s="5">
        <f t="shared" si="6"/>
        <v>6679.711538461538</v>
      </c>
      <c r="O38" s="5">
        <f t="shared" si="7"/>
        <v>173672.5</v>
      </c>
      <c r="P38" s="7"/>
      <c r="Q38" s="7"/>
      <c r="R38" s="7"/>
      <c r="S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</row>
    <row r="39" spans="1:199" ht="25.5" customHeight="1" thickBot="1">
      <c r="A39" s="83" t="s">
        <v>33</v>
      </c>
      <c r="B39" s="12">
        <v>221</v>
      </c>
      <c r="C39" s="12">
        <v>8</v>
      </c>
      <c r="D39" s="80">
        <v>858670</v>
      </c>
      <c r="E39" s="12">
        <v>19699</v>
      </c>
      <c r="F39" s="12">
        <v>1931</v>
      </c>
      <c r="G39" s="12">
        <f>609255+226003</f>
        <v>835258</v>
      </c>
      <c r="H39" s="12">
        <f aca="true" t="shared" si="8" ref="H39:H46">D39/B39</f>
        <v>3885.3846153846152</v>
      </c>
      <c r="I39" s="12">
        <f aca="true" t="shared" si="9" ref="I39:I46">D39/C39</f>
        <v>107333.75</v>
      </c>
      <c r="J39" s="12">
        <f>E39/B39</f>
        <v>89.13574660633485</v>
      </c>
      <c r="K39" s="12">
        <f>E39/C39</f>
        <v>2462.375</v>
      </c>
      <c r="L39" s="12">
        <f>F39/B39</f>
        <v>8.737556561085972</v>
      </c>
      <c r="M39" s="12">
        <f>F39/C39</f>
        <v>241.375</v>
      </c>
      <c r="N39" s="12">
        <f>G39/B39</f>
        <v>3779.447963800905</v>
      </c>
      <c r="O39" s="12">
        <f>G39/C39</f>
        <v>104407.25</v>
      </c>
      <c r="P39" s="7"/>
      <c r="Q39" s="7"/>
      <c r="R39" s="7"/>
      <c r="S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</row>
    <row r="40" spans="1:199" ht="25.5" customHeight="1" thickBot="1">
      <c r="A40" s="71" t="s">
        <v>44</v>
      </c>
      <c r="B40" s="84">
        <f aca="true" t="shared" si="10" ref="B40:G40">SUM(B7:B39)</f>
        <v>17520</v>
      </c>
      <c r="C40" s="84">
        <f t="shared" si="10"/>
        <v>686</v>
      </c>
      <c r="D40" s="87">
        <f t="shared" si="10"/>
        <v>97867560</v>
      </c>
      <c r="E40" s="84">
        <f t="shared" si="10"/>
        <v>13480892</v>
      </c>
      <c r="F40" s="84">
        <f t="shared" si="10"/>
        <v>1895881</v>
      </c>
      <c r="G40" s="84">
        <f t="shared" si="10"/>
        <v>80079565</v>
      </c>
      <c r="H40" s="14">
        <f t="shared" si="8"/>
        <v>5586.04794520548</v>
      </c>
      <c r="I40" s="14">
        <f t="shared" si="9"/>
        <v>142664.08163265305</v>
      </c>
      <c r="J40" s="14">
        <f>E40/B40</f>
        <v>769.4573059360731</v>
      </c>
      <c r="K40" s="14">
        <f>E40/C40</f>
        <v>19651.446064139942</v>
      </c>
      <c r="L40" s="14">
        <f>F40/B40</f>
        <v>108.21238584474885</v>
      </c>
      <c r="M40" s="14">
        <f>F40/C40</f>
        <v>2763.674927113703</v>
      </c>
      <c r="N40" s="14">
        <f>G40/B40</f>
        <v>4570.751426940639</v>
      </c>
      <c r="O40" s="14">
        <f>G40/C40</f>
        <v>116734.05976676385</v>
      </c>
      <c r="P40" s="7"/>
      <c r="Q40" s="7"/>
      <c r="R40" s="7"/>
      <c r="S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</row>
    <row r="41" spans="1:199" ht="27.75" customHeight="1">
      <c r="A41" s="85" t="s">
        <v>41</v>
      </c>
      <c r="B41" s="64">
        <v>881</v>
      </c>
      <c r="C41" s="64">
        <v>31</v>
      </c>
      <c r="D41" s="20">
        <v>4764339</v>
      </c>
      <c r="E41" s="20">
        <v>458955</v>
      </c>
      <c r="F41" s="20">
        <v>112110</v>
      </c>
      <c r="G41" s="20">
        <v>4073831</v>
      </c>
      <c r="H41" s="20">
        <f t="shared" si="8"/>
        <v>5407.876276958003</v>
      </c>
      <c r="I41" s="20">
        <f t="shared" si="9"/>
        <v>153688.35483870967</v>
      </c>
      <c r="J41" s="20">
        <f t="shared" si="2"/>
        <v>520.9477866061294</v>
      </c>
      <c r="K41" s="20">
        <f t="shared" si="3"/>
        <v>14805</v>
      </c>
      <c r="L41" s="20">
        <f t="shared" si="4"/>
        <v>127.25312145289443</v>
      </c>
      <c r="M41" s="20">
        <f t="shared" si="5"/>
        <v>3616.451612903226</v>
      </c>
      <c r="N41" s="20">
        <f t="shared" si="6"/>
        <v>4624.098751418842</v>
      </c>
      <c r="O41" s="20">
        <f t="shared" si="7"/>
        <v>131413.90322580645</v>
      </c>
      <c r="P41" s="7"/>
      <c r="Q41" s="7"/>
      <c r="R41" s="7"/>
      <c r="S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</row>
    <row r="42" spans="1:199" ht="15">
      <c r="A42" s="66" t="s">
        <v>13</v>
      </c>
      <c r="B42" s="5">
        <v>657</v>
      </c>
      <c r="C42" s="5">
        <v>28</v>
      </c>
      <c r="D42" s="5">
        <v>3311390</v>
      </c>
      <c r="E42" s="5">
        <v>281538</v>
      </c>
      <c r="F42" s="5">
        <v>53500</v>
      </c>
      <c r="G42" s="5">
        <v>2864548</v>
      </c>
      <c r="H42" s="5">
        <f t="shared" si="8"/>
        <v>5040.167427701675</v>
      </c>
      <c r="I42" s="5">
        <f t="shared" si="9"/>
        <v>118263.92857142857</v>
      </c>
      <c r="J42" s="5">
        <f t="shared" si="2"/>
        <v>428.52054794520546</v>
      </c>
      <c r="K42" s="5">
        <f t="shared" si="3"/>
        <v>10054.92857142857</v>
      </c>
      <c r="L42" s="5">
        <f t="shared" si="4"/>
        <v>81.43074581430746</v>
      </c>
      <c r="M42" s="5">
        <f t="shared" si="5"/>
        <v>1910.7142857142858</v>
      </c>
      <c r="N42" s="5">
        <f t="shared" si="6"/>
        <v>4360.0426179604265</v>
      </c>
      <c r="O42" s="5">
        <f t="shared" si="7"/>
        <v>102305.28571428571</v>
      </c>
      <c r="P42" s="7"/>
      <c r="Q42" s="7"/>
      <c r="R42" s="7"/>
      <c r="S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10"/>
      <c r="BZ42" s="11"/>
      <c r="CA42" s="11"/>
      <c r="CB42" s="11"/>
      <c r="CC42" s="11"/>
      <c r="CD42" s="11"/>
      <c r="CE42" s="11"/>
      <c r="CF42" s="11"/>
      <c r="CG42" s="11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</row>
    <row r="43" spans="1:199" ht="15">
      <c r="A43" s="66" t="s">
        <v>21</v>
      </c>
      <c r="B43" s="5">
        <v>1022</v>
      </c>
      <c r="C43" s="5">
        <v>35</v>
      </c>
      <c r="D43" s="5">
        <v>4729391</v>
      </c>
      <c r="E43" s="5">
        <v>749875</v>
      </c>
      <c r="F43" s="5">
        <v>74719</v>
      </c>
      <c r="G43" s="5">
        <v>3729012</v>
      </c>
      <c r="H43" s="5">
        <f t="shared" si="8"/>
        <v>4627.584148727984</v>
      </c>
      <c r="I43" s="5">
        <f t="shared" si="9"/>
        <v>135125.45714285714</v>
      </c>
      <c r="J43" s="5">
        <f t="shared" si="2"/>
        <v>733.7328767123288</v>
      </c>
      <c r="K43" s="5">
        <f t="shared" si="3"/>
        <v>21425</v>
      </c>
      <c r="L43" s="5">
        <f t="shared" si="4"/>
        <v>73.1105675146771</v>
      </c>
      <c r="M43" s="5">
        <f t="shared" si="5"/>
        <v>2134.8285714285716</v>
      </c>
      <c r="N43" s="5">
        <f t="shared" si="6"/>
        <v>3648.7397260273974</v>
      </c>
      <c r="O43" s="5">
        <f t="shared" si="7"/>
        <v>106543.2</v>
      </c>
      <c r="P43" s="7"/>
      <c r="Q43" s="7"/>
      <c r="R43" s="7"/>
      <c r="S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10"/>
      <c r="BZ43" s="11"/>
      <c r="CA43" s="11"/>
      <c r="CB43" s="11"/>
      <c r="CC43" s="11"/>
      <c r="CD43" s="11"/>
      <c r="CE43" s="11"/>
      <c r="CF43" s="11"/>
      <c r="CG43" s="11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</row>
    <row r="44" spans="1:199" ht="15">
      <c r="A44" s="66" t="s">
        <v>26</v>
      </c>
      <c r="B44" s="5">
        <v>718</v>
      </c>
      <c r="C44" s="5">
        <v>28</v>
      </c>
      <c r="D44" s="5">
        <v>4377981</v>
      </c>
      <c r="E44" s="5">
        <v>510620</v>
      </c>
      <c r="F44" s="5">
        <v>102468</v>
      </c>
      <c r="G44" s="5">
        <v>3652543</v>
      </c>
      <c r="H44" s="5">
        <f t="shared" si="8"/>
        <v>6097.466573816156</v>
      </c>
      <c r="I44" s="5">
        <f t="shared" si="9"/>
        <v>156356.4642857143</v>
      </c>
      <c r="J44" s="5">
        <f t="shared" si="2"/>
        <v>711.1699164345404</v>
      </c>
      <c r="K44" s="5">
        <f t="shared" si="3"/>
        <v>18236.428571428572</v>
      </c>
      <c r="L44" s="5">
        <f t="shared" si="4"/>
        <v>142.71309192200556</v>
      </c>
      <c r="M44" s="5">
        <f t="shared" si="5"/>
        <v>3659.5714285714284</v>
      </c>
      <c r="N44" s="5">
        <f t="shared" si="6"/>
        <v>5087.107242339833</v>
      </c>
      <c r="O44" s="5">
        <f t="shared" si="7"/>
        <v>130447.96428571429</v>
      </c>
      <c r="P44" s="7"/>
      <c r="Q44" s="7"/>
      <c r="R44" s="7"/>
      <c r="S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10"/>
      <c r="BZ44" s="11"/>
      <c r="CA44" s="11"/>
      <c r="CB44" s="11"/>
      <c r="CC44" s="11"/>
      <c r="CD44" s="11"/>
      <c r="CE44" s="11"/>
      <c r="CF44" s="11"/>
      <c r="CG44" s="11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</row>
    <row r="45" spans="1:199" ht="15.75" thickBot="1">
      <c r="A45" s="66" t="s">
        <v>32</v>
      </c>
      <c r="B45" s="5">
        <v>362</v>
      </c>
      <c r="C45" s="5">
        <v>16</v>
      </c>
      <c r="D45" s="5">
        <v>3279432</v>
      </c>
      <c r="E45" s="5">
        <v>339981</v>
      </c>
      <c r="F45" s="5">
        <v>61767</v>
      </c>
      <c r="G45" s="5">
        <v>2804984</v>
      </c>
      <c r="H45" s="5">
        <f t="shared" si="8"/>
        <v>9059.204419889502</v>
      </c>
      <c r="I45" s="5">
        <f t="shared" si="9"/>
        <v>204964.5</v>
      </c>
      <c r="J45" s="5">
        <f t="shared" si="2"/>
        <v>939.1740331491712</v>
      </c>
      <c r="K45" s="5">
        <f t="shared" si="3"/>
        <v>21248.8125</v>
      </c>
      <c r="L45" s="5">
        <f t="shared" si="4"/>
        <v>170.62707182320443</v>
      </c>
      <c r="M45" s="5">
        <f t="shared" si="5"/>
        <v>3860.4375</v>
      </c>
      <c r="N45" s="5">
        <f t="shared" si="6"/>
        <v>7748.574585635359</v>
      </c>
      <c r="O45" s="5">
        <f t="shared" si="7"/>
        <v>175311.5</v>
      </c>
      <c r="P45" s="7"/>
      <c r="Q45" s="7"/>
      <c r="R45" s="7"/>
      <c r="S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10"/>
      <c r="BZ45" s="11"/>
      <c r="CA45" s="11"/>
      <c r="CB45" s="11"/>
      <c r="CC45" s="11"/>
      <c r="CD45" s="11"/>
      <c r="CE45" s="11"/>
      <c r="CF45" s="11"/>
      <c r="CG45" s="11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</row>
    <row r="46" spans="1:199" s="48" customFormat="1" ht="15.75" thickBot="1">
      <c r="A46" s="74" t="s">
        <v>44</v>
      </c>
      <c r="B46" s="14">
        <f aca="true" t="shared" si="11" ref="B46:G46">B40+B41+B42+B43+B44+B45</f>
        <v>21160</v>
      </c>
      <c r="C46" s="14">
        <f t="shared" si="11"/>
        <v>824</v>
      </c>
      <c r="D46" s="14">
        <f t="shared" si="11"/>
        <v>118330093</v>
      </c>
      <c r="E46" s="14">
        <f t="shared" si="11"/>
        <v>15821861</v>
      </c>
      <c r="F46" s="14">
        <f t="shared" si="11"/>
        <v>2300445</v>
      </c>
      <c r="G46" s="14">
        <f t="shared" si="11"/>
        <v>97204483</v>
      </c>
      <c r="H46" s="14">
        <f t="shared" si="8"/>
        <v>5592.159404536862</v>
      </c>
      <c r="I46" s="14">
        <f t="shared" si="9"/>
        <v>143604.4817961165</v>
      </c>
      <c r="J46" s="14">
        <f t="shared" si="2"/>
        <v>747.725</v>
      </c>
      <c r="K46" s="14">
        <f t="shared" si="3"/>
        <v>19201.287621359224</v>
      </c>
      <c r="L46" s="14">
        <f t="shared" si="4"/>
        <v>108.71668241965973</v>
      </c>
      <c r="M46" s="14">
        <f t="shared" si="5"/>
        <v>2791.8021844660193</v>
      </c>
      <c r="N46" s="14">
        <f>G46/B46</f>
        <v>4593.784640831758</v>
      </c>
      <c r="O46" s="75">
        <f>G46/C46</f>
        <v>117966.60558252427</v>
      </c>
      <c r="P46" s="65"/>
      <c r="Q46" s="42"/>
      <c r="R46" s="42"/>
      <c r="S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9"/>
      <c r="BZ46" s="50"/>
      <c r="CA46" s="50"/>
      <c r="CB46" s="50"/>
      <c r="CC46" s="50"/>
      <c r="CD46" s="50"/>
      <c r="CE46" s="50"/>
      <c r="CF46" s="50"/>
      <c r="CG46" s="50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</row>
    <row r="47" spans="1:199" ht="15.75" thickBot="1">
      <c r="A47" s="70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7"/>
      <c r="Q47" s="7"/>
      <c r="R47" s="7"/>
      <c r="S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10"/>
      <c r="BZ47" s="11"/>
      <c r="CA47" s="11"/>
      <c r="CB47" s="11"/>
      <c r="CC47" s="11"/>
      <c r="CD47" s="11"/>
      <c r="CE47" s="11"/>
      <c r="CF47" s="11"/>
      <c r="CG47" s="11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</row>
    <row r="48" spans="1:199" s="45" customFormat="1" ht="15.75" thickBot="1">
      <c r="A48" s="66" t="s">
        <v>93</v>
      </c>
      <c r="B48" s="2">
        <v>145</v>
      </c>
      <c r="C48" s="2">
        <v>9</v>
      </c>
      <c r="D48" s="5">
        <v>644128</v>
      </c>
      <c r="E48" s="5">
        <v>0</v>
      </c>
      <c r="F48" s="5">
        <v>0</v>
      </c>
      <c r="G48" s="5">
        <v>642661</v>
      </c>
      <c r="H48" s="5">
        <f>D48/B48</f>
        <v>4442.262068965517</v>
      </c>
      <c r="I48" s="5">
        <f>D48/C48</f>
        <v>71569.77777777778</v>
      </c>
      <c r="J48" s="5">
        <f>E48/B48</f>
        <v>0</v>
      </c>
      <c r="K48" s="5">
        <f>E48/C48</f>
        <v>0</v>
      </c>
      <c r="L48" s="5">
        <f>F48/B48</f>
        <v>0</v>
      </c>
      <c r="M48" s="5">
        <f>F48/C48</f>
        <v>0</v>
      </c>
      <c r="N48" s="5">
        <f>G48/B48</f>
        <v>4432.144827586207</v>
      </c>
      <c r="O48" s="5">
        <f>G48/C48</f>
        <v>71406.77777777778</v>
      </c>
      <c r="P48" s="44"/>
      <c r="Q48" s="44"/>
      <c r="R48" s="44"/>
      <c r="S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</row>
    <row r="49" spans="1:199" ht="15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1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10"/>
      <c r="BZ49" s="11"/>
      <c r="CA49" s="11"/>
      <c r="CB49" s="11"/>
      <c r="CC49" s="11"/>
      <c r="CD49" s="11"/>
      <c r="CE49" s="11"/>
      <c r="CF49" s="11"/>
      <c r="CG49" s="11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</row>
    <row r="50" spans="1:199" ht="15">
      <c r="A50" s="66" t="s">
        <v>45</v>
      </c>
      <c r="B50" s="5">
        <v>145</v>
      </c>
      <c r="C50" s="5">
        <v>16</v>
      </c>
      <c r="D50" s="5">
        <v>3613110</v>
      </c>
      <c r="E50" s="5">
        <v>230473</v>
      </c>
      <c r="F50" s="5">
        <v>25667</v>
      </c>
      <c r="G50" s="5">
        <f>2360252+836014</f>
        <v>3196266</v>
      </c>
      <c r="H50" s="5">
        <f aca="true" t="shared" si="12" ref="H50:H55">D50/B50</f>
        <v>24918</v>
      </c>
      <c r="I50" s="5">
        <f aca="true" t="shared" si="13" ref="I50:I55">D50/C50</f>
        <v>225819.375</v>
      </c>
      <c r="J50" s="5">
        <f aca="true" t="shared" si="14" ref="J50:J55">E50/B50</f>
        <v>1589.4689655172415</v>
      </c>
      <c r="K50" s="5">
        <f aca="true" t="shared" si="15" ref="K50:K55">E50/C50</f>
        <v>14404.5625</v>
      </c>
      <c r="L50" s="5">
        <f aca="true" t="shared" si="16" ref="L50:L55">F50/B50</f>
        <v>177.01379310344828</v>
      </c>
      <c r="M50" s="5">
        <f aca="true" t="shared" si="17" ref="M50:M55">F50/C50</f>
        <v>1604.1875</v>
      </c>
      <c r="N50" s="5">
        <f aca="true" t="shared" si="18" ref="N50:N55">G50/B50</f>
        <v>22043.21379310345</v>
      </c>
      <c r="O50" s="5">
        <f aca="true" t="shared" si="19" ref="O50:O55">G50/C50</f>
        <v>199766.625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10"/>
      <c r="BZ50" s="11"/>
      <c r="CA50" s="11"/>
      <c r="CB50" s="11"/>
      <c r="CC50" s="11"/>
      <c r="CD50" s="11"/>
      <c r="CE50" s="11"/>
      <c r="CF50" s="11"/>
      <c r="CG50" s="11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</row>
    <row r="51" spans="1:199" ht="15">
      <c r="A51" s="66" t="s">
        <v>46</v>
      </c>
      <c r="B51" s="5">
        <v>104</v>
      </c>
      <c r="C51" s="5">
        <v>11</v>
      </c>
      <c r="D51" s="5">
        <v>2445983</v>
      </c>
      <c r="E51" s="5">
        <v>160493</v>
      </c>
      <c r="F51" s="5">
        <v>30582</v>
      </c>
      <c r="G51" s="5">
        <f>1563732+564685</f>
        <v>2128417</v>
      </c>
      <c r="H51" s="5">
        <f t="shared" si="12"/>
        <v>23519.06730769231</v>
      </c>
      <c r="I51" s="5">
        <f t="shared" si="13"/>
        <v>222362.0909090909</v>
      </c>
      <c r="J51" s="5">
        <f t="shared" si="14"/>
        <v>1543.201923076923</v>
      </c>
      <c r="K51" s="5">
        <f t="shared" si="15"/>
        <v>14590.272727272728</v>
      </c>
      <c r="L51" s="5">
        <f t="shared" si="16"/>
        <v>294.0576923076923</v>
      </c>
      <c r="M51" s="5">
        <f t="shared" si="17"/>
        <v>2780.181818181818</v>
      </c>
      <c r="N51" s="5">
        <f t="shared" si="18"/>
        <v>20465.548076923078</v>
      </c>
      <c r="O51" s="5">
        <f t="shared" si="19"/>
        <v>193492.45454545456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10"/>
      <c r="BZ51" s="11"/>
      <c r="CA51" s="11"/>
      <c r="CB51" s="11"/>
      <c r="CC51" s="11"/>
      <c r="CD51" s="11"/>
      <c r="CE51" s="11"/>
      <c r="CF51" s="11"/>
      <c r="CG51" s="11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</row>
    <row r="52" spans="1:199" ht="15.75" thickBot="1">
      <c r="A52" s="69" t="s">
        <v>47</v>
      </c>
      <c r="B52" s="12">
        <v>100</v>
      </c>
      <c r="C52" s="12">
        <v>10</v>
      </c>
      <c r="D52" s="12">
        <v>2378033</v>
      </c>
      <c r="E52" s="12">
        <v>260135</v>
      </c>
      <c r="F52" s="12">
        <v>45486</v>
      </c>
      <c r="G52" s="12">
        <f>1440383+525920</f>
        <v>1966303</v>
      </c>
      <c r="H52" s="12">
        <f t="shared" si="12"/>
        <v>23780.33</v>
      </c>
      <c r="I52" s="12">
        <f t="shared" si="13"/>
        <v>237803.3</v>
      </c>
      <c r="J52" s="12">
        <f t="shared" si="14"/>
        <v>2601.35</v>
      </c>
      <c r="K52" s="12">
        <f t="shared" si="15"/>
        <v>26013.5</v>
      </c>
      <c r="L52" s="12">
        <f t="shared" si="16"/>
        <v>454.86</v>
      </c>
      <c r="M52" s="12">
        <f t="shared" si="17"/>
        <v>4548.6</v>
      </c>
      <c r="N52" s="12">
        <f t="shared" si="18"/>
        <v>19663.03</v>
      </c>
      <c r="O52" s="12">
        <f t="shared" si="19"/>
        <v>196630.3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10"/>
      <c r="BZ52" s="11"/>
      <c r="CA52" s="11"/>
      <c r="CB52" s="11"/>
      <c r="CC52" s="11"/>
      <c r="CD52" s="11"/>
      <c r="CE52" s="11"/>
      <c r="CF52" s="11"/>
      <c r="CG52" s="11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</row>
    <row r="53" spans="1:199" s="48" customFormat="1" ht="12.75" customHeight="1" thickBot="1">
      <c r="A53" s="76" t="s">
        <v>44</v>
      </c>
      <c r="B53" s="14">
        <f aca="true" t="shared" si="20" ref="B53:G53">SUM(B50:B52)</f>
        <v>349</v>
      </c>
      <c r="C53" s="14">
        <f t="shared" si="20"/>
        <v>37</v>
      </c>
      <c r="D53" s="14">
        <f t="shared" si="20"/>
        <v>8437126</v>
      </c>
      <c r="E53" s="14">
        <f t="shared" si="20"/>
        <v>651101</v>
      </c>
      <c r="F53" s="14">
        <f t="shared" si="20"/>
        <v>101735</v>
      </c>
      <c r="G53" s="14">
        <f t="shared" si="20"/>
        <v>7290986</v>
      </c>
      <c r="H53" s="14">
        <f t="shared" si="12"/>
        <v>24175.14613180516</v>
      </c>
      <c r="I53" s="14">
        <f t="shared" si="13"/>
        <v>228030.43243243243</v>
      </c>
      <c r="J53" s="14">
        <f t="shared" si="14"/>
        <v>1865.6189111747851</v>
      </c>
      <c r="K53" s="14">
        <f t="shared" si="15"/>
        <v>17597.324324324323</v>
      </c>
      <c r="L53" s="14">
        <f t="shared" si="16"/>
        <v>291.50429799426934</v>
      </c>
      <c r="M53" s="14">
        <f t="shared" si="17"/>
        <v>2749.5945945945946</v>
      </c>
      <c r="N53" s="14">
        <f t="shared" si="18"/>
        <v>20891.07736389685</v>
      </c>
      <c r="O53" s="75">
        <f t="shared" si="19"/>
        <v>197053.67567567568</v>
      </c>
      <c r="P53" s="65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9"/>
      <c r="BZ53" s="50"/>
      <c r="CA53" s="50"/>
      <c r="CB53" s="50"/>
      <c r="CC53" s="50"/>
      <c r="CD53" s="50"/>
      <c r="CE53" s="50"/>
      <c r="CF53" s="50"/>
      <c r="CG53" s="50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</row>
    <row r="54" spans="1:199" s="48" customFormat="1" ht="15.75" thickBot="1">
      <c r="A54" s="77" t="s">
        <v>48</v>
      </c>
      <c r="B54" s="86">
        <v>90</v>
      </c>
      <c r="C54" s="86">
        <v>5</v>
      </c>
      <c r="D54" s="14">
        <v>3226823</v>
      </c>
      <c r="E54" s="14">
        <v>283956</v>
      </c>
      <c r="F54" s="14">
        <v>44124</v>
      </c>
      <c r="G54" s="14">
        <v>1891572</v>
      </c>
      <c r="H54" s="14">
        <f t="shared" si="12"/>
        <v>35853.58888888889</v>
      </c>
      <c r="I54" s="14">
        <f t="shared" si="13"/>
        <v>645364.6</v>
      </c>
      <c r="J54" s="14">
        <f t="shared" si="14"/>
        <v>3155.0666666666666</v>
      </c>
      <c r="K54" s="14">
        <f t="shared" si="15"/>
        <v>56791.2</v>
      </c>
      <c r="L54" s="14">
        <f t="shared" si="16"/>
        <v>490.26666666666665</v>
      </c>
      <c r="M54" s="14">
        <f t="shared" si="17"/>
        <v>8824.8</v>
      </c>
      <c r="N54" s="14">
        <f t="shared" si="18"/>
        <v>21017.466666666667</v>
      </c>
      <c r="O54" s="75">
        <f t="shared" si="19"/>
        <v>378314.4</v>
      </c>
      <c r="P54" s="65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9"/>
      <c r="BZ54" s="50"/>
      <c r="CA54" s="50"/>
      <c r="CB54" s="50"/>
      <c r="CC54" s="50"/>
      <c r="CD54" s="50"/>
      <c r="CE54" s="50"/>
      <c r="CF54" s="50"/>
      <c r="CG54" s="50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</row>
    <row r="55" spans="1:199" s="48" customFormat="1" ht="15.75" thickBot="1">
      <c r="A55" s="77" t="s">
        <v>49</v>
      </c>
      <c r="B55" s="14">
        <v>350</v>
      </c>
      <c r="C55" s="14">
        <v>16</v>
      </c>
      <c r="D55" s="14">
        <v>5983142</v>
      </c>
      <c r="E55" s="14">
        <v>776259</v>
      </c>
      <c r="F55" s="14">
        <v>129895</v>
      </c>
      <c r="G55" s="14">
        <v>4187910</v>
      </c>
      <c r="H55" s="14">
        <f t="shared" si="12"/>
        <v>17094.69142857143</v>
      </c>
      <c r="I55" s="14">
        <f t="shared" si="13"/>
        <v>373946.375</v>
      </c>
      <c r="J55" s="14">
        <f t="shared" si="14"/>
        <v>2217.882857142857</v>
      </c>
      <c r="K55" s="14">
        <f t="shared" si="15"/>
        <v>48516.1875</v>
      </c>
      <c r="L55" s="14">
        <f t="shared" si="16"/>
        <v>371.12857142857143</v>
      </c>
      <c r="M55" s="14">
        <f t="shared" si="17"/>
        <v>8118.4375</v>
      </c>
      <c r="N55" s="14">
        <f t="shared" si="18"/>
        <v>11965.457142857143</v>
      </c>
      <c r="O55" s="75">
        <f t="shared" si="19"/>
        <v>261744.375</v>
      </c>
      <c r="P55" s="65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9"/>
      <c r="BZ55" s="50"/>
      <c r="CA55" s="50"/>
      <c r="CB55" s="50"/>
      <c r="CC55" s="50"/>
      <c r="CD55" s="50"/>
      <c r="CE55" s="50"/>
      <c r="CF55" s="50"/>
      <c r="CG55" s="50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</row>
    <row r="56" spans="1:199" ht="15">
      <c r="A56" s="72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10"/>
      <c r="BZ56" s="11"/>
      <c r="CA56" s="11"/>
      <c r="CB56" s="11"/>
      <c r="CC56" s="11"/>
      <c r="CD56" s="11"/>
      <c r="CE56" s="11"/>
      <c r="CF56" s="11"/>
      <c r="CG56" s="11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</row>
    <row r="57" spans="1:199" ht="15">
      <c r="A57" s="66" t="s">
        <v>50</v>
      </c>
      <c r="B57" s="78">
        <v>1335</v>
      </c>
      <c r="C57" s="78">
        <v>90</v>
      </c>
      <c r="D57" s="25">
        <v>1192714</v>
      </c>
      <c r="E57" s="5">
        <v>229646</v>
      </c>
      <c r="F57" s="5">
        <v>11035</v>
      </c>
      <c r="G57" s="5">
        <f>713904+244627</f>
        <v>958531</v>
      </c>
      <c r="H57" s="5">
        <f>D57/B57</f>
        <v>893.4187265917603</v>
      </c>
      <c r="I57" s="5">
        <f>D57/C57</f>
        <v>13252.377777777778</v>
      </c>
      <c r="J57" s="5">
        <f>E57/B57</f>
        <v>172.0194756554307</v>
      </c>
      <c r="K57" s="5">
        <f>E57/C57</f>
        <v>2551.6222222222223</v>
      </c>
      <c r="L57" s="5">
        <f>F57/B57</f>
        <v>8.265917602996256</v>
      </c>
      <c r="M57" s="5">
        <f>F57/C57</f>
        <v>122.61111111111111</v>
      </c>
      <c r="N57" s="5">
        <f>G57/B57</f>
        <v>718.0007490636705</v>
      </c>
      <c r="O57" s="5">
        <f>G57/C57</f>
        <v>10650.344444444445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10"/>
      <c r="BZ57" s="11"/>
      <c r="CA57" s="11"/>
      <c r="CB57" s="11"/>
      <c r="CC57" s="11"/>
      <c r="CD57" s="11"/>
      <c r="CE57" s="11"/>
      <c r="CF57" s="11"/>
      <c r="CG57" s="11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</row>
    <row r="58" spans="1:199" ht="15">
      <c r="A58" s="66" t="s">
        <v>51</v>
      </c>
      <c r="B58" s="78">
        <v>1432</v>
      </c>
      <c r="C58" s="78">
        <v>97</v>
      </c>
      <c r="D58" s="25">
        <v>1000675</v>
      </c>
      <c r="E58" s="5">
        <v>142538</v>
      </c>
      <c r="F58" s="5">
        <v>10834</v>
      </c>
      <c r="G58" s="5">
        <f>631780+220021</f>
        <v>851801</v>
      </c>
      <c r="H58" s="5">
        <f>D58/B58</f>
        <v>698.7953910614525</v>
      </c>
      <c r="I58" s="5">
        <f>D58/C58</f>
        <v>10316.237113402061</v>
      </c>
      <c r="J58" s="5">
        <f>E58/B58</f>
        <v>99.5377094972067</v>
      </c>
      <c r="K58" s="5">
        <f>E58/C58</f>
        <v>1469.4639175257732</v>
      </c>
      <c r="L58" s="5">
        <f>F58/B58</f>
        <v>7.565642458100559</v>
      </c>
      <c r="M58" s="5">
        <f>F58/C58</f>
        <v>111.69072164948453</v>
      </c>
      <c r="N58" s="5">
        <f>G58/B58</f>
        <v>594.8331005586592</v>
      </c>
      <c r="O58" s="5">
        <f>G58/C58</f>
        <v>8781.453608247422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10"/>
      <c r="BZ58" s="11"/>
      <c r="CA58" s="11"/>
      <c r="CB58" s="11"/>
      <c r="CC58" s="11"/>
      <c r="CD58" s="11"/>
      <c r="CE58" s="11"/>
      <c r="CF58" s="11"/>
      <c r="CG58" s="11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</row>
    <row r="59" spans="1:199" ht="15.75" thickBot="1">
      <c r="A59" s="69" t="s">
        <v>52</v>
      </c>
      <c r="B59" s="80">
        <v>430</v>
      </c>
      <c r="C59" s="80">
        <v>29</v>
      </c>
      <c r="D59" s="73">
        <v>289234</v>
      </c>
      <c r="E59" s="12">
        <v>25281</v>
      </c>
      <c r="F59" s="12">
        <v>0</v>
      </c>
      <c r="G59" s="12">
        <f>190318+69427</f>
        <v>259745</v>
      </c>
      <c r="H59" s="12">
        <f>D59/B59</f>
        <v>672.6372093023256</v>
      </c>
      <c r="I59" s="12">
        <f>D59/C59</f>
        <v>9973.586206896553</v>
      </c>
      <c r="J59" s="12">
        <f>E59/B59</f>
        <v>58.79302325581396</v>
      </c>
      <c r="K59" s="12">
        <f>E59/C59</f>
        <v>871.7586206896551</v>
      </c>
      <c r="L59" s="12">
        <f>F59/B59</f>
        <v>0</v>
      </c>
      <c r="M59" s="12">
        <f>F59/C59</f>
        <v>0</v>
      </c>
      <c r="N59" s="12">
        <f>G59/B59</f>
        <v>604.0581395348837</v>
      </c>
      <c r="O59" s="12">
        <f>G59/C59</f>
        <v>8956.724137931034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10"/>
      <c r="BZ59" s="11"/>
      <c r="CA59" s="11"/>
      <c r="CB59" s="11"/>
      <c r="CC59" s="11"/>
      <c r="CD59" s="11"/>
      <c r="CE59" s="11"/>
      <c r="CF59" s="11"/>
      <c r="CG59" s="11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</row>
    <row r="60" spans="1:199" s="48" customFormat="1" ht="15.75" customHeight="1" thickBot="1">
      <c r="A60" s="74" t="s">
        <v>44</v>
      </c>
      <c r="B60" s="14">
        <f aca="true" t="shared" si="21" ref="B60:G60">SUM(B57:B59)</f>
        <v>3197</v>
      </c>
      <c r="C60" s="14">
        <f t="shared" si="21"/>
        <v>216</v>
      </c>
      <c r="D60" s="14">
        <f t="shared" si="21"/>
        <v>2482623</v>
      </c>
      <c r="E60" s="14">
        <f t="shared" si="21"/>
        <v>397465</v>
      </c>
      <c r="F60" s="14">
        <f t="shared" si="21"/>
        <v>21869</v>
      </c>
      <c r="G60" s="14">
        <f t="shared" si="21"/>
        <v>2070077</v>
      </c>
      <c r="H60" s="14">
        <f>D60/B60</f>
        <v>776.5477009696591</v>
      </c>
      <c r="I60" s="14">
        <f>D60/C60</f>
        <v>11493.625</v>
      </c>
      <c r="J60" s="14">
        <f>E60/B60</f>
        <v>124.32436659368157</v>
      </c>
      <c r="K60" s="14">
        <f>E60/C60</f>
        <v>1840.1157407407406</v>
      </c>
      <c r="L60" s="14">
        <f>F60/B60</f>
        <v>6.840475445730372</v>
      </c>
      <c r="M60" s="14">
        <f>F60/C60</f>
        <v>101.24537037037037</v>
      </c>
      <c r="N60" s="14">
        <f>G60/B60</f>
        <v>647.5060994682515</v>
      </c>
      <c r="O60" s="75">
        <f>G60/C60</f>
        <v>9583.689814814816</v>
      </c>
      <c r="P60" s="65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9"/>
      <c r="BZ60" s="50"/>
      <c r="CA60" s="50"/>
      <c r="CB60" s="50"/>
      <c r="CC60" s="50"/>
      <c r="CD60" s="50"/>
      <c r="CE60" s="50"/>
      <c r="CF60" s="50"/>
      <c r="CG60" s="50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</row>
    <row r="61" spans="1:199" ht="18" customHeight="1" hidden="1">
      <c r="A61" s="26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30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10"/>
      <c r="BZ61" s="11"/>
      <c r="CA61" s="11"/>
      <c r="CB61" s="11"/>
      <c r="CC61" s="11"/>
      <c r="CD61" s="11"/>
      <c r="CE61" s="11"/>
      <c r="CF61" s="11"/>
      <c r="CG61" s="11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</row>
    <row r="62" spans="2:199" ht="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10"/>
      <c r="BZ62" s="11"/>
      <c r="CA62" s="11"/>
      <c r="CB62" s="11"/>
      <c r="CC62" s="11"/>
      <c r="CD62" s="11"/>
      <c r="CE62" s="11"/>
      <c r="CF62" s="11"/>
      <c r="CG62" s="11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</row>
    <row r="63" spans="2:199" ht="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10"/>
      <c r="BZ63" s="11"/>
      <c r="CA63" s="11"/>
      <c r="CB63" s="11"/>
      <c r="CC63" s="11"/>
      <c r="CD63" s="11"/>
      <c r="CE63" s="11"/>
      <c r="CF63" s="11"/>
      <c r="CG63" s="11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</row>
    <row r="64" spans="16:199" ht="15"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10"/>
      <c r="BZ64" s="11"/>
      <c r="CA64" s="11"/>
      <c r="CB64" s="11"/>
      <c r="CC64" s="11"/>
      <c r="CD64" s="11"/>
      <c r="CE64" s="11"/>
      <c r="CF64" s="11"/>
      <c r="CG64" s="11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</row>
    <row r="65" spans="16:199" ht="15"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</row>
    <row r="66" spans="16:199" ht="15"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</row>
    <row r="67" spans="16:199" ht="15"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</row>
    <row r="68" spans="16:199" ht="15"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</row>
    <row r="69" spans="16:199" ht="15"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</row>
    <row r="70" spans="16:199" ht="15"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</row>
    <row r="71" spans="16:199" ht="15"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</row>
    <row r="72" spans="16:199" ht="15"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</row>
    <row r="73" spans="16:199" ht="15"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</row>
    <row r="74" spans="16:199" ht="15"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</row>
    <row r="75" spans="16:199" ht="15"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</row>
    <row r="76" spans="16:199" ht="15"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</row>
    <row r="77" spans="16:199" ht="15"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</row>
    <row r="78" spans="16:199" ht="15"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</row>
    <row r="79" spans="16:199" ht="15"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</row>
    <row r="80" spans="16:199" ht="15"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</row>
    <row r="81" spans="1:199" ht="1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</row>
    <row r="82" spans="1:199" ht="12.75" customHeight="1">
      <c r="A82" s="29"/>
      <c r="B82" s="29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29"/>
      <c r="N82" s="29"/>
      <c r="O82" s="29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</row>
    <row r="83" spans="1:199" ht="12.75" customHeight="1">
      <c r="A83" s="29"/>
      <c r="B83" s="29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29"/>
      <c r="N83" s="29"/>
      <c r="O83" s="29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</row>
    <row r="84" spans="1:199" ht="12.75" customHeight="1">
      <c r="A84" s="29"/>
      <c r="B84" s="29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29"/>
      <c r="N84" s="29"/>
      <c r="O84" s="29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</row>
    <row r="85" spans="1:199" ht="1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</row>
    <row r="86" spans="1:199" ht="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3"/>
      <c r="M86" s="33"/>
      <c r="N86" s="33"/>
      <c r="O86" s="33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</row>
    <row r="87" spans="1:199" ht="15">
      <c r="A87" s="32"/>
      <c r="B87" s="32"/>
      <c r="C87" s="32"/>
      <c r="D87" s="32"/>
      <c r="E87" s="32"/>
      <c r="F87" s="32"/>
      <c r="G87" s="32"/>
      <c r="H87" s="32"/>
      <c r="I87" s="32"/>
      <c r="J87" s="34"/>
      <c r="K87" s="34"/>
      <c r="L87" s="34"/>
      <c r="M87" s="34"/>
      <c r="N87" s="34"/>
      <c r="O87" s="34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</row>
    <row r="88" spans="1:199" ht="15">
      <c r="A88" s="35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</row>
    <row r="89" spans="1:199" ht="15">
      <c r="A89" s="35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</row>
    <row r="90" spans="1:199" ht="15">
      <c r="A90" s="35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</row>
    <row r="91" spans="1:199" ht="15">
      <c r="A91" s="35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</row>
    <row r="92" spans="1:199" ht="15">
      <c r="A92" s="35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</row>
    <row r="93" spans="1:199" ht="15">
      <c r="A93" s="35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</row>
    <row r="94" spans="1:199" ht="15">
      <c r="A94" s="35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</row>
    <row r="95" spans="1:199" ht="15">
      <c r="A95" s="35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</row>
    <row r="96" spans="1:199" ht="15">
      <c r="A96" s="35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</row>
    <row r="97" spans="1:199" ht="15">
      <c r="A97" s="35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</row>
    <row r="98" spans="1:199" ht="15">
      <c r="A98" s="35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</row>
    <row r="99" spans="1:199" ht="15">
      <c r="A99" s="35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</row>
    <row r="100" spans="1:199" ht="15">
      <c r="A100" s="35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</row>
    <row r="101" spans="1:199" ht="15">
      <c r="A101" s="35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</row>
    <row r="102" spans="1:199" ht="15">
      <c r="A102" s="35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</row>
    <row r="103" spans="1:199" ht="15">
      <c r="A103" s="35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</row>
    <row r="104" spans="1:199" ht="15">
      <c r="A104" s="35"/>
      <c r="B104" s="17"/>
      <c r="C104" s="17"/>
      <c r="D104" s="17"/>
      <c r="E104" s="16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</row>
    <row r="105" spans="1:199" ht="15">
      <c r="A105" s="35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</row>
    <row r="106" spans="1:199" ht="15">
      <c r="A106" s="35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</row>
    <row r="107" spans="1:199" ht="15">
      <c r="A107" s="35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</row>
    <row r="108" spans="1:199" ht="15">
      <c r="A108" s="35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</row>
    <row r="109" spans="1:199" ht="15">
      <c r="A109" s="35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</row>
    <row r="110" spans="1:199" ht="15">
      <c r="A110" s="35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</row>
    <row r="111" spans="1:199" ht="15">
      <c r="A111" s="35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</row>
    <row r="112" spans="1:199" ht="15">
      <c r="A112" s="35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</row>
    <row r="113" spans="1:199" ht="15">
      <c r="A113" s="35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</row>
    <row r="114" spans="1:199" ht="15">
      <c r="A114" s="35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</row>
    <row r="115" spans="1:199" ht="15">
      <c r="A115" s="35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</row>
    <row r="116" spans="1:199" ht="15">
      <c r="A116" s="35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</row>
    <row r="117" spans="1:199" ht="15">
      <c r="A117" s="35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</row>
    <row r="118" spans="1:199" ht="15">
      <c r="A118" s="35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</row>
    <row r="119" spans="1:199" ht="15">
      <c r="A119" s="35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</row>
    <row r="120" spans="1:199" ht="15">
      <c r="A120" s="3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</row>
    <row r="121" spans="1:199" ht="15">
      <c r="A121" s="35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</row>
    <row r="122" spans="1:199" ht="15">
      <c r="A122" s="35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</row>
    <row r="123" spans="1:199" ht="15">
      <c r="A123" s="35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</row>
    <row r="124" spans="1:199" ht="15">
      <c r="A124" s="35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</row>
    <row r="125" spans="1:199" ht="15">
      <c r="A125" s="36"/>
      <c r="B125" s="16"/>
      <c r="C125" s="16"/>
      <c r="D125" s="16"/>
      <c r="E125" s="16"/>
      <c r="F125" s="16"/>
      <c r="G125" s="16"/>
      <c r="H125" s="16"/>
      <c r="I125" s="16"/>
      <c r="J125" s="17"/>
      <c r="K125" s="17"/>
      <c r="L125" s="17"/>
      <c r="M125" s="17"/>
      <c r="N125" s="17"/>
      <c r="O125" s="1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</row>
    <row r="126" spans="1:199" ht="15">
      <c r="A126" s="3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</row>
    <row r="127" spans="1:199" ht="15">
      <c r="A127" s="35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</row>
    <row r="128" spans="1:199" ht="15">
      <c r="A128" s="35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</row>
    <row r="129" spans="1:199" ht="15">
      <c r="A129" s="35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</row>
    <row r="130" spans="1:199" ht="15">
      <c r="A130" s="35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</row>
    <row r="131" spans="1:199" ht="15">
      <c r="A131" s="35"/>
      <c r="B131" s="17"/>
      <c r="C131" s="17"/>
      <c r="D131" s="17"/>
      <c r="E131" s="17"/>
      <c r="F131" s="17"/>
      <c r="G131" s="37"/>
      <c r="H131" s="37"/>
      <c r="I131" s="37"/>
      <c r="J131" s="37"/>
      <c r="K131" s="17"/>
      <c r="L131" s="17"/>
      <c r="M131" s="17"/>
      <c r="N131" s="17"/>
      <c r="O131" s="1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</row>
    <row r="132" spans="1:199" ht="15">
      <c r="A132" s="35"/>
      <c r="B132" s="17"/>
      <c r="C132" s="17"/>
      <c r="D132" s="17"/>
      <c r="E132" s="17"/>
      <c r="F132" s="17"/>
      <c r="G132" s="37"/>
      <c r="H132" s="37"/>
      <c r="I132" s="37"/>
      <c r="J132" s="37"/>
      <c r="K132" s="17"/>
      <c r="L132" s="17"/>
      <c r="M132" s="17"/>
      <c r="N132" s="17"/>
      <c r="O132" s="1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</row>
    <row r="133" spans="1:199" ht="15">
      <c r="A133" s="29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</row>
    <row r="134" spans="1:199" ht="15">
      <c r="A134" s="29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</row>
    <row r="135" spans="1:199" ht="15">
      <c r="A135" s="29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</row>
    <row r="136" spans="1:199" ht="15">
      <c r="A136" s="29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</row>
    <row r="137" spans="1:199" ht="15">
      <c r="A137" s="29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</row>
    <row r="138" spans="1:199" ht="15">
      <c r="A138" s="29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</row>
    <row r="139" spans="1:199" ht="15">
      <c r="A139" s="29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</row>
    <row r="140" spans="1:199" ht="15">
      <c r="A140" s="29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</row>
    <row r="141" spans="1:199" ht="15">
      <c r="A141" s="29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</row>
    <row r="142" spans="1:199" ht="15">
      <c r="A142" s="29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</row>
    <row r="143" spans="1:199" ht="15">
      <c r="A143" s="29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</row>
    <row r="144" spans="1:199" ht="15">
      <c r="A144" s="29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</row>
    <row r="145" spans="1:199" ht="15">
      <c r="A145" s="29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</row>
    <row r="146" spans="1:199" ht="15">
      <c r="A146" s="29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</row>
    <row r="147" spans="2:199" ht="1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</row>
    <row r="148" spans="2:199" ht="1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</row>
    <row r="149" spans="2:199" ht="1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</row>
    <row r="150" spans="2:199" ht="1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</row>
    <row r="151" spans="2:199" ht="1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</row>
    <row r="152" spans="2:199" ht="1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</row>
    <row r="153" spans="2:199" ht="1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</row>
    <row r="154" spans="2:199" ht="1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</row>
    <row r="155" spans="2:199" ht="1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</row>
    <row r="156" spans="2:199" ht="1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</row>
    <row r="157" spans="2:199" ht="1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</row>
    <row r="158" spans="2:199" ht="1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</row>
    <row r="159" spans="2:199" ht="1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</row>
    <row r="160" spans="2:199" ht="1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</row>
    <row r="161" spans="2:199" ht="1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</row>
    <row r="162" spans="2:199" ht="1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</row>
    <row r="163" spans="2:199" ht="1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</row>
    <row r="164" spans="2:199" ht="1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</row>
    <row r="165" spans="2:199" ht="1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</row>
    <row r="166" spans="2:199" ht="1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</row>
    <row r="167" spans="2:199" ht="1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</row>
    <row r="168" spans="2:199" ht="1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</row>
    <row r="169" spans="2:199" ht="1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</row>
    <row r="170" spans="2:199" ht="1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</row>
    <row r="171" spans="2:199" ht="1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</row>
    <row r="172" spans="2:199" ht="1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</row>
    <row r="173" spans="2:199" ht="1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</row>
    <row r="174" spans="2:199" ht="1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</row>
    <row r="175" spans="2:199" ht="1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</row>
    <row r="176" spans="2:199" ht="1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</row>
    <row r="177" spans="2:199" ht="1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</row>
    <row r="178" spans="2:199" ht="1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</row>
    <row r="179" spans="2:199" ht="1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</row>
    <row r="180" spans="2:199" ht="1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</row>
    <row r="181" spans="2:199" ht="1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</row>
    <row r="182" spans="2:199" ht="1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</row>
    <row r="183" spans="2:199" ht="1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</row>
    <row r="184" spans="2:199" ht="1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</row>
    <row r="185" spans="2:199" ht="1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</row>
    <row r="186" spans="2:199" ht="1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</row>
    <row r="187" spans="2:199" ht="15">
      <c r="B187" s="9"/>
      <c r="C187" s="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</row>
    <row r="188" spans="2:199" ht="15">
      <c r="B188" s="9"/>
      <c r="C188" s="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</row>
    <row r="189" spans="2:199" ht="15">
      <c r="B189" s="9"/>
      <c r="C189" s="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</row>
    <row r="190" spans="2:199" ht="15">
      <c r="B190" s="9"/>
      <c r="C190" s="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</row>
    <row r="191" spans="2:199" ht="15">
      <c r="B191" s="9"/>
      <c r="C191" s="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</row>
    <row r="192" spans="2:199" ht="15">
      <c r="B192" s="9"/>
      <c r="C192" s="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</row>
    <row r="193" spans="2:199" ht="15">
      <c r="B193" s="9"/>
      <c r="C193" s="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</row>
    <row r="194" spans="2:199" ht="15">
      <c r="B194" s="9"/>
      <c r="C194" s="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</row>
    <row r="195" spans="2:199" ht="15">
      <c r="B195" s="9"/>
      <c r="C195" s="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</row>
    <row r="196" spans="2:199" ht="15">
      <c r="B196" s="9"/>
      <c r="C196" s="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</row>
    <row r="197" spans="2:199" ht="15">
      <c r="B197" s="9"/>
      <c r="C197" s="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</row>
    <row r="198" spans="2:199" ht="15">
      <c r="B198" s="9"/>
      <c r="C198" s="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</row>
    <row r="199" spans="2:199" ht="15">
      <c r="B199" s="9"/>
      <c r="C199" s="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</row>
    <row r="200" spans="2:199" ht="15">
      <c r="B200" s="9"/>
      <c r="C200" s="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</row>
    <row r="201" spans="2:199" ht="15">
      <c r="B201" s="9"/>
      <c r="C201" s="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</row>
    <row r="202" spans="2:199" ht="15">
      <c r="B202" s="9"/>
      <c r="C202" s="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</row>
    <row r="203" spans="2:199" ht="15">
      <c r="B203" s="9"/>
      <c r="C203" s="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</row>
    <row r="204" spans="2:199" ht="15">
      <c r="B204" s="9"/>
      <c r="C204" s="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</row>
    <row r="205" spans="2:199" ht="15">
      <c r="B205" s="9"/>
      <c r="C205" s="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</row>
    <row r="206" spans="2:199" ht="15">
      <c r="B206" s="9"/>
      <c r="C206" s="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</row>
    <row r="207" spans="2:199" ht="15">
      <c r="B207" s="9"/>
      <c r="C207" s="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</row>
    <row r="208" spans="2:199" ht="15">
      <c r="B208" s="9"/>
      <c r="C208" s="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</row>
    <row r="209" spans="2:199" ht="15">
      <c r="B209" s="9"/>
      <c r="C209" s="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</row>
    <row r="210" spans="2:199" ht="15">
      <c r="B210" s="9"/>
      <c r="C210" s="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</row>
    <row r="211" spans="2:199" ht="15">
      <c r="B211" s="9"/>
      <c r="C211" s="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</row>
    <row r="212" spans="2:199" ht="15">
      <c r="B212" s="9"/>
      <c r="C212" s="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</row>
    <row r="213" spans="2:199" ht="15">
      <c r="B213" s="9"/>
      <c r="C213" s="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</row>
    <row r="214" spans="2:199" ht="15">
      <c r="B214" s="9"/>
      <c r="C214" s="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</row>
    <row r="215" spans="2:199" ht="15">
      <c r="B215" s="9"/>
      <c r="C215" s="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</row>
    <row r="216" spans="2:199" ht="15">
      <c r="B216" s="9"/>
      <c r="C216" s="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</row>
    <row r="217" spans="2:199" ht="15">
      <c r="B217" s="9"/>
      <c r="C217" s="9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</row>
    <row r="218" spans="2:199" ht="15">
      <c r="B218" s="9"/>
      <c r="C218" s="9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</row>
    <row r="219" spans="2:199" ht="15">
      <c r="B219" s="9"/>
      <c r="C219" s="9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</row>
    <row r="220" spans="2:199" ht="15">
      <c r="B220" s="9"/>
      <c r="C220" s="9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</row>
    <row r="221" spans="2:199" ht="15">
      <c r="B221" s="9"/>
      <c r="C221" s="9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</row>
    <row r="222" spans="2:199" ht="15">
      <c r="B222" s="9"/>
      <c r="C222" s="9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</row>
    <row r="223" spans="2:199" ht="15">
      <c r="B223" s="9"/>
      <c r="C223" s="9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</row>
    <row r="224" spans="2:199" ht="15">
      <c r="B224" s="9"/>
      <c r="C224" s="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</row>
    <row r="225" spans="2:199" ht="15">
      <c r="B225" s="9"/>
      <c r="C225" s="9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</row>
    <row r="226" spans="2:199" ht="15">
      <c r="B226" s="9"/>
      <c r="C226" s="9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</row>
    <row r="227" spans="2:199" ht="15">
      <c r="B227" s="9"/>
      <c r="C227" s="9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</row>
    <row r="228" spans="2:199" ht="15">
      <c r="B228" s="9"/>
      <c r="C228" s="9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</row>
    <row r="229" spans="2:199" ht="15">
      <c r="B229" s="9"/>
      <c r="C229" s="9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</row>
    <row r="230" spans="2:199" ht="15">
      <c r="B230" s="9"/>
      <c r="C230" s="9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</row>
    <row r="231" spans="2:199" ht="15">
      <c r="B231" s="9"/>
      <c r="C231" s="9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</row>
    <row r="232" spans="2:199" ht="15">
      <c r="B232" s="9"/>
      <c r="C232" s="9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</row>
    <row r="233" spans="2:199" ht="15">
      <c r="B233" s="9"/>
      <c r="C233" s="9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</row>
    <row r="234" spans="2:199" ht="15">
      <c r="B234" s="9"/>
      <c r="C234" s="9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</row>
    <row r="235" spans="2:199" ht="15">
      <c r="B235" s="9"/>
      <c r="C235" s="9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</row>
    <row r="236" spans="2:199" ht="15">
      <c r="B236" s="9"/>
      <c r="C236" s="9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</row>
    <row r="237" spans="2:199" ht="15">
      <c r="B237" s="9"/>
      <c r="C237" s="9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</row>
    <row r="238" spans="2:199" ht="15">
      <c r="B238" s="9"/>
      <c r="C238" s="9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</row>
    <row r="239" spans="2:199" ht="15">
      <c r="B239" s="9"/>
      <c r="C239" s="9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</row>
    <row r="240" spans="2:199" ht="15">
      <c r="B240" s="9"/>
      <c r="C240" s="9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</row>
    <row r="241" spans="2:199" ht="15">
      <c r="B241" s="9"/>
      <c r="C241" s="9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</row>
    <row r="242" spans="2:199" ht="15">
      <c r="B242" s="9"/>
      <c r="C242" s="9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</row>
    <row r="243" spans="2:199" ht="15">
      <c r="B243" s="9"/>
      <c r="C243" s="9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</row>
    <row r="244" spans="2:199" ht="15">
      <c r="B244" s="9"/>
      <c r="C244" s="9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</row>
    <row r="245" spans="2:199" ht="15">
      <c r="B245" s="9"/>
      <c r="C245" s="9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</row>
    <row r="246" spans="2:199" ht="15">
      <c r="B246" s="9"/>
      <c r="C246" s="9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</row>
    <row r="247" spans="2:199" ht="15">
      <c r="B247" s="9"/>
      <c r="C247" s="9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</row>
    <row r="248" spans="2:199" ht="15">
      <c r="B248" s="9"/>
      <c r="C248" s="9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</row>
    <row r="249" spans="2:199" ht="15">
      <c r="B249" s="9"/>
      <c r="C249" s="9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</row>
    <row r="250" spans="2:199" ht="15">
      <c r="B250" s="9"/>
      <c r="C250" s="9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</row>
    <row r="251" spans="2:199" ht="15">
      <c r="B251" s="9"/>
      <c r="C251" s="9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</row>
    <row r="252" spans="2:199" ht="15">
      <c r="B252" s="9"/>
      <c r="C252" s="9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</row>
    <row r="253" spans="2:199" ht="15">
      <c r="B253" s="9"/>
      <c r="C253" s="9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</row>
    <row r="254" spans="2:199" ht="15">
      <c r="B254" s="9"/>
      <c r="C254" s="9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</row>
    <row r="255" spans="2:199" ht="15">
      <c r="B255" s="9"/>
      <c r="C255" s="9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</row>
    <row r="256" spans="2:199" ht="15">
      <c r="B256" s="9"/>
      <c r="C256" s="9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</row>
    <row r="257" spans="2:199" ht="15">
      <c r="B257" s="9"/>
      <c r="C257" s="9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</row>
    <row r="258" spans="2:199" ht="15">
      <c r="B258" s="9"/>
      <c r="C258" s="9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</row>
    <row r="259" spans="2:199" ht="15">
      <c r="B259" s="9"/>
      <c r="C259" s="9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</row>
    <row r="260" spans="2:199" ht="15">
      <c r="B260" s="9"/>
      <c r="C260" s="9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</row>
    <row r="261" spans="2:199" ht="15">
      <c r="B261" s="9"/>
      <c r="C261" s="9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</row>
    <row r="262" spans="2:199" ht="15">
      <c r="B262" s="9"/>
      <c r="C262" s="9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</row>
    <row r="263" spans="2:199" ht="15">
      <c r="B263" s="9"/>
      <c r="C263" s="9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</row>
    <row r="264" spans="2:199" ht="15">
      <c r="B264" s="9"/>
      <c r="C264" s="9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</row>
    <row r="265" spans="2:199" ht="15">
      <c r="B265" s="9"/>
      <c r="C265" s="9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</row>
    <row r="266" spans="2:199" ht="15">
      <c r="B266" s="9"/>
      <c r="C266" s="9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</row>
    <row r="267" spans="2:199" ht="15">
      <c r="B267" s="9"/>
      <c r="C267" s="9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</row>
    <row r="268" spans="2:199" ht="15">
      <c r="B268" s="9"/>
      <c r="C268" s="9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</row>
    <row r="269" spans="2:199" ht="15">
      <c r="B269" s="9"/>
      <c r="C269" s="9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</row>
    <row r="270" spans="2:199" ht="15">
      <c r="B270" s="9"/>
      <c r="C270" s="9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</row>
    <row r="271" spans="2:199" ht="15">
      <c r="B271" s="9"/>
      <c r="C271" s="9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</row>
    <row r="272" spans="2:199" ht="15">
      <c r="B272" s="9"/>
      <c r="C272" s="9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</row>
    <row r="273" spans="2:199" ht="15">
      <c r="B273" s="9"/>
      <c r="C273" s="9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</row>
    <row r="274" spans="2:199" ht="15">
      <c r="B274" s="9"/>
      <c r="C274" s="9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</row>
    <row r="275" spans="2:199" ht="15">
      <c r="B275" s="9"/>
      <c r="C275" s="9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</row>
    <row r="276" spans="2:199" ht="15">
      <c r="B276" s="9"/>
      <c r="C276" s="9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</row>
    <row r="277" spans="2:199" ht="15">
      <c r="B277" s="9"/>
      <c r="C277" s="9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</row>
    <row r="278" spans="2:199" ht="15">
      <c r="B278" s="9"/>
      <c r="C278" s="9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</row>
    <row r="279" spans="2:199" ht="15">
      <c r="B279" s="9"/>
      <c r="C279" s="9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</row>
    <row r="280" spans="2:199" ht="15">
      <c r="B280" s="9"/>
      <c r="C280" s="9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</row>
    <row r="281" spans="2:199" ht="15">
      <c r="B281" s="9"/>
      <c r="C281" s="9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</row>
    <row r="282" spans="2:199" ht="15">
      <c r="B282" s="9"/>
      <c r="C282" s="9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</row>
    <row r="283" spans="2:199" ht="15">
      <c r="B283" s="9"/>
      <c r="C283" s="9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</row>
    <row r="284" spans="2:199" ht="15">
      <c r="B284" s="9"/>
      <c r="C284" s="9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</row>
    <row r="285" spans="2:199" ht="15">
      <c r="B285" s="9"/>
      <c r="C285" s="9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</row>
    <row r="286" spans="2:199" ht="15">
      <c r="B286" s="9"/>
      <c r="C286" s="9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</row>
    <row r="287" spans="2:199" ht="15">
      <c r="B287" s="9"/>
      <c r="C287" s="9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</row>
    <row r="288" spans="2:199" ht="15">
      <c r="B288" s="9"/>
      <c r="C288" s="9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</row>
    <row r="289" spans="2:199" ht="15">
      <c r="B289" s="9"/>
      <c r="C289" s="9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</row>
    <row r="290" spans="2:199" ht="15">
      <c r="B290" s="9"/>
      <c r="C290" s="9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</row>
    <row r="291" spans="2:199" ht="15">
      <c r="B291" s="9"/>
      <c r="C291" s="9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</row>
    <row r="292" spans="2:199" ht="15">
      <c r="B292" s="9"/>
      <c r="C292" s="9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</row>
    <row r="293" spans="2:199" ht="15">
      <c r="B293" s="9"/>
      <c r="C293" s="9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</row>
    <row r="294" spans="2:199" ht="15">
      <c r="B294" s="9"/>
      <c r="C294" s="9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</row>
    <row r="295" spans="2:199" ht="15">
      <c r="B295" s="9"/>
      <c r="C295" s="9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</row>
    <row r="296" spans="2:199" ht="15">
      <c r="B296" s="9"/>
      <c r="C296" s="9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</row>
    <row r="297" spans="2:199" ht="15">
      <c r="B297" s="9"/>
      <c r="C297" s="9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</row>
    <row r="298" spans="2:199" ht="15">
      <c r="B298" s="9"/>
      <c r="C298" s="9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</row>
    <row r="299" spans="2:199" ht="15">
      <c r="B299" s="9"/>
      <c r="C299" s="9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</row>
    <row r="300" spans="2:199" ht="15">
      <c r="B300" s="9"/>
      <c r="C300" s="9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</row>
    <row r="301" spans="2:199" ht="15">
      <c r="B301" s="9"/>
      <c r="C301" s="9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</row>
    <row r="302" spans="2:199" ht="15">
      <c r="B302" s="9"/>
      <c r="C302" s="9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</row>
    <row r="303" spans="2:199" ht="15">
      <c r="B303" s="9"/>
      <c r="C303" s="9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</row>
    <row r="304" spans="2:199" ht="15">
      <c r="B304" s="9"/>
      <c r="C304" s="9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</row>
    <row r="305" spans="2:199" ht="15">
      <c r="B305" s="9"/>
      <c r="C305" s="9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</row>
    <row r="306" spans="2:199" ht="15">
      <c r="B306" s="9"/>
      <c r="C306" s="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</row>
    <row r="307" spans="2:199" ht="15">
      <c r="B307" s="9"/>
      <c r="C307" s="9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</row>
    <row r="308" spans="2:199" ht="15">
      <c r="B308" s="9"/>
      <c r="C308" s="9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</row>
    <row r="309" spans="2:199" ht="15">
      <c r="B309" s="9"/>
      <c r="C309" s="9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</row>
    <row r="310" spans="2:199" ht="15">
      <c r="B310" s="9"/>
      <c r="C310" s="9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</row>
    <row r="311" spans="2:199" ht="15">
      <c r="B311" s="9"/>
      <c r="C311" s="9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</row>
    <row r="312" spans="2:199" ht="15">
      <c r="B312" s="9"/>
      <c r="C312" s="9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</row>
    <row r="313" spans="2:199" ht="15">
      <c r="B313" s="9"/>
      <c r="C313" s="9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</row>
    <row r="314" spans="2:199" ht="15">
      <c r="B314" s="9"/>
      <c r="C314" s="9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</row>
    <row r="315" spans="2:199" ht="15">
      <c r="B315" s="9"/>
      <c r="C315" s="9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</row>
    <row r="316" spans="2:199" ht="15">
      <c r="B316" s="9"/>
      <c r="C316" s="9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</row>
    <row r="317" spans="2:199" ht="15">
      <c r="B317" s="9"/>
      <c r="C317" s="9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</row>
    <row r="318" spans="2:199" ht="15">
      <c r="B318" s="9"/>
      <c r="C318" s="9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</row>
    <row r="319" spans="2:199" ht="15">
      <c r="B319" s="9"/>
      <c r="C319" s="9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</row>
    <row r="320" spans="2:199" ht="15">
      <c r="B320" s="9"/>
      <c r="C320" s="9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</row>
    <row r="321" spans="2:199" ht="15">
      <c r="B321" s="9"/>
      <c r="C321" s="9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</row>
    <row r="322" spans="2:199" ht="15">
      <c r="B322" s="9"/>
      <c r="C322" s="9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</row>
    <row r="323" spans="2:199" ht="15">
      <c r="B323" s="9"/>
      <c r="C323" s="9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</row>
    <row r="324" spans="2:199" ht="15">
      <c r="B324" s="9"/>
      <c r="C324" s="9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</row>
    <row r="325" spans="2:199" ht="15">
      <c r="B325" s="9"/>
      <c r="C325" s="9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</row>
    <row r="326" spans="2:199" ht="15">
      <c r="B326" s="9"/>
      <c r="C326" s="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</row>
    <row r="327" spans="2:199" ht="15">
      <c r="B327" s="9"/>
      <c r="C327" s="9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</row>
    <row r="328" spans="2:199" ht="15">
      <c r="B328" s="9"/>
      <c r="C328" s="9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</row>
    <row r="329" spans="2:199" ht="15">
      <c r="B329" s="9"/>
      <c r="C329" s="9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</row>
    <row r="330" spans="2:199" ht="15">
      <c r="B330" s="9"/>
      <c r="C330" s="9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</row>
    <row r="331" spans="2:199" ht="15">
      <c r="B331" s="9"/>
      <c r="C331" s="9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</row>
    <row r="332" spans="2:199" ht="15">
      <c r="B332" s="9"/>
      <c r="C332" s="9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</row>
    <row r="333" spans="2:199" ht="15">
      <c r="B333" s="9"/>
      <c r="C333" s="9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</row>
    <row r="334" spans="2:199" ht="15">
      <c r="B334" s="9"/>
      <c r="C334" s="9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</row>
    <row r="335" spans="2:199" ht="15">
      <c r="B335" s="9"/>
      <c r="C335" s="9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</row>
    <row r="336" spans="2:199" ht="15">
      <c r="B336" s="9"/>
      <c r="C336" s="9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</row>
    <row r="337" spans="2:199" ht="15">
      <c r="B337" s="9"/>
      <c r="C337" s="9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</row>
    <row r="338" spans="2:199" ht="15">
      <c r="B338" s="9"/>
      <c r="C338" s="9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</row>
    <row r="339" spans="2:199" ht="15">
      <c r="B339" s="9"/>
      <c r="C339" s="9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</row>
    <row r="340" spans="2:199" ht="15">
      <c r="B340" s="9"/>
      <c r="C340" s="9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</row>
    <row r="341" spans="2:199" ht="15">
      <c r="B341" s="9"/>
      <c r="C341" s="9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</row>
    <row r="342" spans="2:199" ht="15">
      <c r="B342" s="9"/>
      <c r="C342" s="9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</row>
    <row r="343" spans="2:199" ht="15">
      <c r="B343" s="9"/>
      <c r="C343" s="9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</row>
    <row r="344" spans="2:199" ht="15">
      <c r="B344" s="9"/>
      <c r="C344" s="9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</row>
    <row r="345" spans="2:199" ht="15">
      <c r="B345" s="9"/>
      <c r="C345" s="9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</row>
    <row r="346" spans="2:199" ht="15">
      <c r="B346" s="9"/>
      <c r="C346" s="9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</row>
    <row r="347" spans="2:199" ht="15">
      <c r="B347" s="9"/>
      <c r="C347" s="9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</row>
    <row r="348" spans="2:199" ht="15">
      <c r="B348" s="9"/>
      <c r="C348" s="9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</row>
    <row r="349" spans="2:199" ht="15">
      <c r="B349" s="9"/>
      <c r="C349" s="9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</row>
    <row r="350" spans="2:199" ht="15">
      <c r="B350" s="9"/>
      <c r="C350" s="9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</row>
    <row r="351" spans="2:199" ht="15">
      <c r="B351" s="9"/>
      <c r="C351" s="9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</row>
    <row r="352" spans="2:199" ht="15">
      <c r="B352" s="9"/>
      <c r="C352" s="9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</row>
    <row r="353" spans="2:199" ht="15">
      <c r="B353" s="9"/>
      <c r="C353" s="9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</row>
    <row r="354" spans="2:199" ht="15">
      <c r="B354" s="9"/>
      <c r="C354" s="9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</row>
    <row r="355" spans="2:199" ht="15">
      <c r="B355" s="9"/>
      <c r="C355" s="9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</row>
    <row r="356" spans="2:199" ht="15">
      <c r="B356" s="9"/>
      <c r="C356" s="9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</row>
    <row r="357" spans="2:199" ht="15">
      <c r="B357" s="9"/>
      <c r="C357" s="9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</row>
    <row r="358" spans="2:199" ht="15">
      <c r="B358" s="9"/>
      <c r="C358" s="9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</row>
    <row r="359" spans="2:199" ht="15">
      <c r="B359" s="9"/>
      <c r="C359" s="9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</row>
    <row r="360" spans="2:199" ht="15">
      <c r="B360" s="9"/>
      <c r="C360" s="9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</row>
    <row r="361" spans="2:199" ht="15">
      <c r="B361" s="9"/>
      <c r="C361" s="9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</row>
    <row r="362" spans="2:199" ht="15">
      <c r="B362" s="9"/>
      <c r="C362" s="9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</row>
    <row r="363" spans="2:199" ht="15">
      <c r="B363" s="9"/>
      <c r="C363" s="9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</row>
    <row r="364" spans="2:199" ht="15">
      <c r="B364" s="9"/>
      <c r="C364" s="9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</row>
    <row r="365" spans="2:199" ht="15">
      <c r="B365" s="9"/>
      <c r="C365" s="9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</row>
    <row r="366" spans="2:199" ht="15">
      <c r="B366" s="9"/>
      <c r="C366" s="9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</row>
    <row r="367" spans="2:199" ht="15">
      <c r="B367" s="9"/>
      <c r="C367" s="9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</row>
    <row r="368" spans="2:199" ht="15">
      <c r="B368" s="9"/>
      <c r="C368" s="9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</row>
    <row r="369" spans="2:199" ht="15">
      <c r="B369" s="9"/>
      <c r="C369" s="9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</row>
    <row r="370" spans="2:199" ht="15">
      <c r="B370" s="9"/>
      <c r="C370" s="9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</row>
    <row r="371" spans="2:199" ht="15">
      <c r="B371" s="9"/>
      <c r="C371" s="9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</row>
    <row r="372" spans="2:199" ht="15">
      <c r="B372" s="9"/>
      <c r="C372" s="9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</row>
    <row r="373" spans="2:199" ht="15">
      <c r="B373" s="9"/>
      <c r="C373" s="9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</row>
    <row r="374" spans="2:199" ht="15">
      <c r="B374" s="9"/>
      <c r="C374" s="9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</row>
    <row r="375" spans="2:199" ht="15">
      <c r="B375" s="9"/>
      <c r="C375" s="9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</row>
    <row r="376" spans="2:199" ht="15">
      <c r="B376" s="9"/>
      <c r="C376" s="9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</row>
    <row r="377" spans="2:199" ht="15">
      <c r="B377" s="9"/>
      <c r="C377" s="9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</row>
    <row r="378" spans="2:199" ht="15">
      <c r="B378" s="9"/>
      <c r="C378" s="9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</row>
    <row r="379" spans="2:199" ht="15">
      <c r="B379" s="9"/>
      <c r="C379" s="9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</row>
    <row r="380" spans="2:199" ht="15">
      <c r="B380" s="9"/>
      <c r="C380" s="9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</row>
    <row r="381" spans="2:199" ht="15">
      <c r="B381" s="9"/>
      <c r="C381" s="9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</row>
    <row r="382" spans="2:199" ht="15">
      <c r="B382" s="9"/>
      <c r="C382" s="9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</row>
    <row r="383" spans="2:199" ht="15">
      <c r="B383" s="9"/>
      <c r="C383" s="9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</row>
    <row r="384" spans="2:199" ht="15">
      <c r="B384" s="9"/>
      <c r="C384" s="9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</row>
    <row r="385" spans="2:199" ht="15">
      <c r="B385" s="9"/>
      <c r="C385" s="9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</row>
    <row r="386" spans="2:199" ht="15">
      <c r="B386" s="9"/>
      <c r="C386" s="9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</row>
    <row r="387" spans="2:199" ht="15">
      <c r="B387" s="9"/>
      <c r="C387" s="9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</row>
    <row r="388" spans="2:199" ht="15">
      <c r="B388" s="9"/>
      <c r="C388" s="9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</row>
    <row r="389" spans="2:199" ht="15">
      <c r="B389" s="9"/>
      <c r="C389" s="9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</row>
    <row r="390" spans="2:199" ht="15">
      <c r="B390" s="9"/>
      <c r="C390" s="9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</row>
    <row r="391" spans="2:199" ht="15">
      <c r="B391" s="9"/>
      <c r="C391" s="9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</row>
    <row r="392" spans="2:199" ht="15">
      <c r="B392" s="9"/>
      <c r="C392" s="9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</row>
    <row r="393" spans="2:199" ht="15">
      <c r="B393" s="9"/>
      <c r="C393" s="9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</row>
    <row r="394" spans="2:199" ht="15">
      <c r="B394" s="9"/>
      <c r="C394" s="9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</row>
    <row r="395" spans="2:199" ht="15">
      <c r="B395" s="9"/>
      <c r="C395" s="9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</row>
    <row r="396" spans="2:199" ht="15">
      <c r="B396" s="9"/>
      <c r="C396" s="9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</row>
    <row r="397" spans="2:199" ht="15">
      <c r="B397" s="9"/>
      <c r="C397" s="9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</row>
    <row r="398" spans="2:199" ht="15">
      <c r="B398" s="9"/>
      <c r="C398" s="9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</row>
    <row r="399" spans="2:199" ht="15">
      <c r="B399" s="9"/>
      <c r="C399" s="9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</row>
    <row r="400" spans="2:199" ht="15">
      <c r="B400" s="9"/>
      <c r="C400" s="9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</row>
    <row r="401" spans="2:199" ht="15">
      <c r="B401" s="9"/>
      <c r="C401" s="9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</row>
    <row r="402" spans="2:199" ht="15">
      <c r="B402" s="9"/>
      <c r="C402" s="9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</row>
    <row r="403" spans="2:199" ht="15">
      <c r="B403" s="9"/>
      <c r="C403" s="9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</row>
    <row r="404" spans="2:199" ht="15">
      <c r="B404" s="9"/>
      <c r="C404" s="9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</row>
    <row r="405" spans="2:199" ht="15">
      <c r="B405" s="9"/>
      <c r="C405" s="9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</row>
    <row r="406" spans="2:199" ht="15">
      <c r="B406" s="9"/>
      <c r="C406" s="9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</row>
    <row r="407" spans="2:199" ht="15">
      <c r="B407" s="9"/>
      <c r="C407" s="9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</row>
    <row r="408" spans="2:199" ht="15">
      <c r="B408" s="9"/>
      <c r="C408" s="9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</row>
    <row r="409" spans="2:199" ht="15">
      <c r="B409" s="9"/>
      <c r="C409" s="9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</row>
    <row r="410" spans="2:199" ht="15">
      <c r="B410" s="9"/>
      <c r="C410" s="9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</row>
    <row r="411" spans="2:199" ht="15">
      <c r="B411" s="9"/>
      <c r="C411" s="9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</row>
    <row r="412" spans="2:199" ht="15">
      <c r="B412" s="9"/>
      <c r="C412" s="9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</row>
    <row r="413" spans="2:199" ht="15">
      <c r="B413" s="9"/>
      <c r="C413" s="9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</row>
    <row r="414" spans="2:199" ht="15">
      <c r="B414" s="9"/>
      <c r="C414" s="9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</row>
    <row r="415" spans="2:199" ht="15">
      <c r="B415" s="9"/>
      <c r="C415" s="9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</row>
    <row r="416" spans="2:199" ht="15">
      <c r="B416" s="9"/>
      <c r="C416" s="9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</row>
    <row r="417" spans="2:199" ht="15">
      <c r="B417" s="9"/>
      <c r="C417" s="9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</row>
    <row r="418" spans="2:199" ht="15">
      <c r="B418" s="9"/>
      <c r="C418" s="9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</row>
    <row r="419" spans="2:199" ht="15">
      <c r="B419" s="9"/>
      <c r="C419" s="9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</row>
    <row r="420" spans="2:199" ht="15">
      <c r="B420" s="9"/>
      <c r="C420" s="9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</row>
    <row r="421" spans="2:199" ht="15">
      <c r="B421" s="9"/>
      <c r="C421" s="9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</row>
    <row r="422" spans="2:199" ht="15">
      <c r="B422" s="9"/>
      <c r="C422" s="9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</row>
    <row r="423" spans="2:199" ht="15">
      <c r="B423" s="9"/>
      <c r="C423" s="9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</row>
    <row r="424" spans="2:199" ht="15">
      <c r="B424" s="9"/>
      <c r="C424" s="9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</row>
    <row r="425" spans="2:199" ht="15">
      <c r="B425" s="9"/>
      <c r="C425" s="9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</row>
    <row r="426" spans="2:199" ht="15">
      <c r="B426" s="9"/>
      <c r="C426" s="9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</row>
    <row r="427" spans="2:199" ht="15">
      <c r="B427" s="9"/>
      <c r="C427" s="9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</row>
    <row r="428" spans="2:199" ht="15">
      <c r="B428" s="9"/>
      <c r="C428" s="9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</row>
    <row r="429" spans="2:199" ht="15">
      <c r="B429" s="9"/>
      <c r="C429" s="9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</row>
    <row r="430" spans="2:199" ht="15">
      <c r="B430" s="9"/>
      <c r="C430" s="9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</row>
    <row r="431" spans="2:199" ht="15">
      <c r="B431" s="9"/>
      <c r="C431" s="9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</row>
    <row r="432" spans="2:199" ht="15">
      <c r="B432" s="9"/>
      <c r="C432" s="9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</row>
    <row r="433" spans="2:199" ht="15">
      <c r="B433" s="9"/>
      <c r="C433" s="9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</row>
    <row r="434" spans="2:199" ht="15">
      <c r="B434" s="9"/>
      <c r="C434" s="9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</row>
    <row r="435" spans="2:199" ht="15">
      <c r="B435" s="9"/>
      <c r="C435" s="9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</row>
    <row r="436" spans="2:199" ht="15">
      <c r="B436" s="9"/>
      <c r="C436" s="9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</row>
    <row r="437" spans="2:199" ht="15">
      <c r="B437" s="9"/>
      <c r="C437" s="9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</row>
    <row r="438" spans="2:199" ht="15">
      <c r="B438" s="9"/>
      <c r="C438" s="9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</row>
    <row r="439" spans="2:199" ht="15">
      <c r="B439" s="9"/>
      <c r="C439" s="9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</row>
    <row r="440" spans="2:199" ht="15">
      <c r="B440" s="9"/>
      <c r="C440" s="9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</row>
    <row r="441" spans="2:199" ht="15">
      <c r="B441" s="9"/>
      <c r="C441" s="9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</row>
    <row r="442" spans="2:199" ht="15">
      <c r="B442" s="9"/>
      <c r="C442" s="9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</row>
    <row r="443" spans="2:199" ht="15">
      <c r="B443" s="9"/>
      <c r="C443" s="9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</row>
    <row r="444" spans="2:199" ht="15">
      <c r="B444" s="9"/>
      <c r="C444" s="9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</row>
    <row r="445" spans="2:199" ht="15">
      <c r="B445" s="9"/>
      <c r="C445" s="9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</row>
    <row r="446" spans="2:199" ht="15">
      <c r="B446" s="9"/>
      <c r="C446" s="9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</row>
    <row r="447" spans="2:199" ht="15">
      <c r="B447" s="9"/>
      <c r="C447" s="9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</row>
    <row r="448" spans="2:199" ht="15">
      <c r="B448" s="9"/>
      <c r="C448" s="9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</row>
    <row r="449" spans="2:199" ht="15">
      <c r="B449" s="9"/>
      <c r="C449" s="9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</row>
    <row r="450" spans="2:199" ht="15">
      <c r="B450" s="9"/>
      <c r="C450" s="9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</row>
    <row r="451" spans="2:199" ht="15">
      <c r="B451" s="9"/>
      <c r="C451" s="9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</row>
    <row r="452" spans="2:199" ht="15">
      <c r="B452" s="9"/>
      <c r="C452" s="9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</row>
    <row r="453" spans="2:199" ht="15">
      <c r="B453" s="9"/>
      <c r="C453" s="9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</row>
    <row r="454" spans="2:199" ht="15">
      <c r="B454" s="9"/>
      <c r="C454" s="9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</row>
    <row r="455" spans="2:199" ht="15">
      <c r="B455" s="9"/>
      <c r="C455" s="9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</row>
    <row r="456" spans="2:199" ht="15">
      <c r="B456" s="9"/>
      <c r="C456" s="9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</row>
    <row r="457" spans="2:199" ht="15">
      <c r="B457" s="9"/>
      <c r="C457" s="9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</row>
    <row r="458" spans="2:199" ht="15">
      <c r="B458" s="9"/>
      <c r="C458" s="9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</row>
    <row r="459" spans="2:199" ht="15">
      <c r="B459" s="9"/>
      <c r="C459" s="9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</row>
    <row r="460" spans="2:199" ht="15">
      <c r="B460" s="9"/>
      <c r="C460" s="9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</row>
    <row r="461" spans="2:199" ht="15">
      <c r="B461" s="9"/>
      <c r="C461" s="9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</row>
    <row r="462" spans="2:199" ht="15">
      <c r="B462" s="9"/>
      <c r="C462" s="9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</row>
    <row r="463" spans="2:199" ht="15">
      <c r="B463" s="9"/>
      <c r="C463" s="9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</row>
    <row r="464" spans="2:199" ht="15">
      <c r="B464" s="9"/>
      <c r="C464" s="9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</row>
    <row r="465" spans="2:199" ht="15">
      <c r="B465" s="9"/>
      <c r="C465" s="9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</row>
    <row r="466" spans="2:199" ht="15">
      <c r="B466" s="9"/>
      <c r="C466" s="9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</row>
    <row r="467" spans="2:199" ht="15">
      <c r="B467" s="9"/>
      <c r="C467" s="9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</row>
    <row r="468" spans="2:199" ht="15">
      <c r="B468" s="9"/>
      <c r="C468" s="9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</row>
    <row r="469" spans="2:199" ht="15">
      <c r="B469" s="9"/>
      <c r="C469" s="9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</row>
    <row r="470" spans="2:199" ht="15">
      <c r="B470" s="9"/>
      <c r="C470" s="9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</row>
    <row r="471" spans="2:199" ht="15">
      <c r="B471" s="9"/>
      <c r="C471" s="9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</row>
    <row r="472" spans="2:199" ht="15">
      <c r="B472" s="9"/>
      <c r="C472" s="9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</row>
    <row r="473" spans="2:199" ht="15">
      <c r="B473" s="9"/>
      <c r="C473" s="9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</row>
    <row r="474" spans="2:199" ht="15">
      <c r="B474" s="9"/>
      <c r="C474" s="9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</row>
    <row r="475" spans="2:199" ht="15">
      <c r="B475" s="9"/>
      <c r="C475" s="9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</row>
    <row r="476" spans="2:199" ht="15">
      <c r="B476" s="9"/>
      <c r="C476" s="9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</row>
    <row r="477" spans="2:199" ht="15">
      <c r="B477" s="9"/>
      <c r="C477" s="9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</row>
    <row r="478" spans="2:199" ht="15">
      <c r="B478" s="9"/>
      <c r="C478" s="9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</row>
    <row r="479" spans="2:199" ht="15">
      <c r="B479" s="9"/>
      <c r="C479" s="9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</row>
    <row r="480" spans="2:199" ht="15">
      <c r="B480" s="9"/>
      <c r="C480" s="9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</row>
    <row r="481" spans="2:199" ht="15">
      <c r="B481" s="9"/>
      <c r="C481" s="9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</row>
    <row r="482" spans="2:199" ht="15">
      <c r="B482" s="9"/>
      <c r="C482" s="9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</row>
    <row r="483" spans="2:199" ht="15">
      <c r="B483" s="9"/>
      <c r="C483" s="9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  <c r="GA483" s="9"/>
      <c r="GB483" s="9"/>
      <c r="GC483" s="9"/>
      <c r="GD483" s="9"/>
      <c r="GE483" s="9"/>
      <c r="GF483" s="9"/>
      <c r="GG483" s="9"/>
      <c r="GH483" s="9"/>
      <c r="GI483" s="9"/>
      <c r="GJ483" s="9"/>
      <c r="GK483" s="9"/>
      <c r="GL483" s="9"/>
      <c r="GM483" s="9"/>
      <c r="GN483" s="9"/>
      <c r="GO483" s="9"/>
      <c r="GP483" s="9"/>
      <c r="GQ483" s="9"/>
    </row>
    <row r="484" spans="2:199" ht="15">
      <c r="B484" s="9"/>
      <c r="C484" s="9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</row>
    <row r="485" spans="2:199" ht="15">
      <c r="B485" s="9"/>
      <c r="C485" s="9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</row>
    <row r="486" spans="2:199" ht="15">
      <c r="B486" s="9"/>
      <c r="C486" s="9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</row>
    <row r="487" spans="2:199" ht="15">
      <c r="B487" s="9"/>
      <c r="C487" s="9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</row>
    <row r="488" spans="2:199" ht="15">
      <c r="B488" s="9"/>
      <c r="C488" s="9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</row>
    <row r="489" spans="2:199" ht="15">
      <c r="B489" s="9"/>
      <c r="C489" s="9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</row>
    <row r="490" spans="2:199" ht="15">
      <c r="B490" s="9"/>
      <c r="C490" s="9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</row>
    <row r="491" spans="2:199" ht="15">
      <c r="B491" s="9"/>
      <c r="C491" s="9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</row>
    <row r="492" spans="2:199" ht="15">
      <c r="B492" s="9"/>
      <c r="C492" s="9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</row>
    <row r="493" spans="2:199" ht="15">
      <c r="B493" s="9"/>
      <c r="C493" s="9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</row>
    <row r="494" spans="2:199" ht="15">
      <c r="B494" s="9"/>
      <c r="C494" s="9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</row>
    <row r="495" spans="2:199" ht="15">
      <c r="B495" s="9"/>
      <c r="C495" s="9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</row>
    <row r="496" spans="2:199" ht="15">
      <c r="B496" s="9"/>
      <c r="C496" s="9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</row>
    <row r="497" spans="2:199" ht="15">
      <c r="B497" s="9"/>
      <c r="C497" s="9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</row>
    <row r="498" spans="2:199" ht="15">
      <c r="B498" s="9"/>
      <c r="C498" s="9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</row>
    <row r="499" spans="2:199" ht="15">
      <c r="B499" s="9"/>
      <c r="C499" s="9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</row>
    <row r="500" spans="2:199" ht="15">
      <c r="B500" s="9"/>
      <c r="C500" s="9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</row>
    <row r="501" spans="2:199" ht="15">
      <c r="B501" s="9"/>
      <c r="C501" s="9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</row>
    <row r="502" spans="2:199" ht="15">
      <c r="B502" s="9"/>
      <c r="C502" s="9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</row>
    <row r="503" spans="2:199" ht="15">
      <c r="B503" s="9"/>
      <c r="C503" s="9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</row>
    <row r="504" spans="2:199" ht="15">
      <c r="B504" s="9"/>
      <c r="C504" s="9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</row>
    <row r="505" spans="2:199" ht="15">
      <c r="B505" s="9"/>
      <c r="C505" s="9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</row>
    <row r="506" spans="2:199" ht="15">
      <c r="B506" s="9"/>
      <c r="C506" s="9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</row>
    <row r="507" spans="2:199" ht="15">
      <c r="B507" s="9"/>
      <c r="C507" s="9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</row>
    <row r="508" spans="2:199" ht="15">
      <c r="B508" s="9"/>
      <c r="C508" s="9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</row>
    <row r="509" spans="2:199" ht="15">
      <c r="B509" s="9"/>
      <c r="C509" s="9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</row>
    <row r="510" spans="2:199" ht="15">
      <c r="B510" s="9"/>
      <c r="C510" s="9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</row>
    <row r="511" spans="2:199" ht="15">
      <c r="B511" s="9"/>
      <c r="C511" s="9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</row>
    <row r="512" spans="2:199" ht="15">
      <c r="B512" s="9"/>
      <c r="C512" s="9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</row>
    <row r="513" spans="2:199" ht="15">
      <c r="B513" s="9"/>
      <c r="C513" s="9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</row>
    <row r="514" spans="2:199" ht="15">
      <c r="B514" s="9"/>
      <c r="C514" s="9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</row>
    <row r="515" spans="2:199" ht="15">
      <c r="B515" s="9"/>
      <c r="C515" s="9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</row>
    <row r="516" spans="2:199" ht="15">
      <c r="B516" s="9"/>
      <c r="C516" s="9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</row>
    <row r="517" spans="2:199" ht="15">
      <c r="B517" s="9"/>
      <c r="C517" s="9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</row>
    <row r="518" spans="2:199" ht="15">
      <c r="B518" s="9"/>
      <c r="C518" s="9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</row>
    <row r="519" spans="2:199" ht="15">
      <c r="B519" s="9"/>
      <c r="C519" s="9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</row>
    <row r="520" spans="2:199" ht="15">
      <c r="B520" s="9"/>
      <c r="C520" s="9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</row>
    <row r="521" spans="2:199" ht="15">
      <c r="B521" s="9"/>
      <c r="C521" s="9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</row>
    <row r="522" spans="2:199" ht="15">
      <c r="B522" s="9"/>
      <c r="C522" s="9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</row>
    <row r="523" spans="2:199" ht="15">
      <c r="B523" s="9"/>
      <c r="C523" s="9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</row>
    <row r="524" spans="2:199" ht="15">
      <c r="B524" s="9"/>
      <c r="C524" s="9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</row>
    <row r="525" spans="2:199" ht="15">
      <c r="B525" s="9"/>
      <c r="C525" s="9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</row>
    <row r="526" spans="2:199" ht="15">
      <c r="B526" s="9"/>
      <c r="C526" s="9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</row>
    <row r="527" spans="2:199" ht="15">
      <c r="B527" s="9"/>
      <c r="C527" s="9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</row>
    <row r="528" spans="2:199" ht="15">
      <c r="B528" s="9"/>
      <c r="C528" s="9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  <c r="GA528" s="9"/>
      <c r="GB528" s="9"/>
      <c r="GC528" s="9"/>
      <c r="GD528" s="9"/>
      <c r="GE528" s="9"/>
      <c r="GF528" s="9"/>
      <c r="GG528" s="9"/>
      <c r="GH528" s="9"/>
      <c r="GI528" s="9"/>
      <c r="GJ528" s="9"/>
      <c r="GK528" s="9"/>
      <c r="GL528" s="9"/>
      <c r="GM528" s="9"/>
      <c r="GN528" s="9"/>
      <c r="GO528" s="9"/>
      <c r="GP528" s="9"/>
      <c r="GQ528" s="9"/>
    </row>
    <row r="529" spans="2:199" ht="15">
      <c r="B529" s="9"/>
      <c r="C529" s="9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</row>
    <row r="530" spans="2:199" ht="15">
      <c r="B530" s="9"/>
      <c r="C530" s="9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</row>
    <row r="531" spans="2:199" ht="15">
      <c r="B531" s="9"/>
      <c r="C531" s="9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</row>
    <row r="532" spans="2:199" ht="15">
      <c r="B532" s="9"/>
      <c r="C532" s="9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  <c r="GA532" s="9"/>
      <c r="GB532" s="9"/>
      <c r="GC532" s="9"/>
      <c r="GD532" s="9"/>
      <c r="GE532" s="9"/>
      <c r="GF532" s="9"/>
      <c r="GG532" s="9"/>
      <c r="GH532" s="9"/>
      <c r="GI532" s="9"/>
      <c r="GJ532" s="9"/>
      <c r="GK532" s="9"/>
      <c r="GL532" s="9"/>
      <c r="GM532" s="9"/>
      <c r="GN532" s="9"/>
      <c r="GO532" s="9"/>
      <c r="GP532" s="9"/>
      <c r="GQ532" s="9"/>
    </row>
    <row r="533" spans="2:199" ht="15">
      <c r="B533" s="9"/>
      <c r="C533" s="9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</row>
    <row r="534" spans="2:199" ht="15">
      <c r="B534" s="9"/>
      <c r="C534" s="9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</row>
    <row r="535" spans="2:199" ht="15">
      <c r="B535" s="9"/>
      <c r="C535" s="9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</row>
    <row r="536" spans="2:199" ht="15">
      <c r="B536" s="9"/>
      <c r="C536" s="9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9"/>
      <c r="GN536" s="9"/>
      <c r="GO536" s="9"/>
      <c r="GP536" s="9"/>
      <c r="GQ536" s="9"/>
    </row>
    <row r="537" spans="2:199" ht="15">
      <c r="B537" s="9"/>
      <c r="C537" s="9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</row>
    <row r="538" spans="2:199" ht="15">
      <c r="B538" s="9"/>
      <c r="C538" s="9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</row>
    <row r="539" spans="2:199" ht="15">
      <c r="B539" s="9"/>
      <c r="C539" s="9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  <c r="GA539" s="9"/>
      <c r="GB539" s="9"/>
      <c r="GC539" s="9"/>
      <c r="GD539" s="9"/>
      <c r="GE539" s="9"/>
      <c r="GF539" s="9"/>
      <c r="GG539" s="9"/>
      <c r="GH539" s="9"/>
      <c r="GI539" s="9"/>
      <c r="GJ539" s="9"/>
      <c r="GK539" s="9"/>
      <c r="GL539" s="9"/>
      <c r="GM539" s="9"/>
      <c r="GN539" s="9"/>
      <c r="GO539" s="9"/>
      <c r="GP539" s="9"/>
      <c r="GQ539" s="9"/>
    </row>
    <row r="540" spans="2:199" ht="15">
      <c r="B540" s="9"/>
      <c r="C540" s="9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  <c r="GB540" s="9"/>
      <c r="GC540" s="9"/>
      <c r="GD540" s="9"/>
      <c r="GE540" s="9"/>
      <c r="GF540" s="9"/>
      <c r="GG540" s="9"/>
      <c r="GH540" s="9"/>
      <c r="GI540" s="9"/>
      <c r="GJ540" s="9"/>
      <c r="GK540" s="9"/>
      <c r="GL540" s="9"/>
      <c r="GM540" s="9"/>
      <c r="GN540" s="9"/>
      <c r="GO540" s="9"/>
      <c r="GP540" s="9"/>
      <c r="GQ540" s="9"/>
    </row>
    <row r="541" spans="2:199" ht="15">
      <c r="B541" s="9"/>
      <c r="C541" s="9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</row>
    <row r="542" spans="2:199" ht="15">
      <c r="B542" s="9"/>
      <c r="C542" s="9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</row>
    <row r="543" spans="2:199" ht="15">
      <c r="B543" s="9"/>
      <c r="C543" s="9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</row>
    <row r="544" spans="2:199" ht="15">
      <c r="B544" s="9"/>
      <c r="C544" s="9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</row>
    <row r="545" spans="2:199" ht="15">
      <c r="B545" s="9"/>
      <c r="C545" s="9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  <c r="GA545" s="9"/>
      <c r="GB545" s="9"/>
      <c r="GC545" s="9"/>
      <c r="GD545" s="9"/>
      <c r="GE545" s="9"/>
      <c r="GF545" s="9"/>
      <c r="GG545" s="9"/>
      <c r="GH545" s="9"/>
      <c r="GI545" s="9"/>
      <c r="GJ545" s="9"/>
      <c r="GK545" s="9"/>
      <c r="GL545" s="9"/>
      <c r="GM545" s="9"/>
      <c r="GN545" s="9"/>
      <c r="GO545" s="9"/>
      <c r="GP545" s="9"/>
      <c r="GQ545" s="9"/>
    </row>
    <row r="546" spans="2:199" ht="15">
      <c r="B546" s="9"/>
      <c r="C546" s="9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</row>
    <row r="547" spans="2:199" ht="15">
      <c r="B547" s="9"/>
      <c r="C547" s="9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</row>
    <row r="548" spans="2:199" ht="15">
      <c r="B548" s="9"/>
      <c r="C548" s="9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</row>
    <row r="549" spans="2:199" ht="15">
      <c r="B549" s="9"/>
      <c r="C549" s="9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</row>
    <row r="550" spans="2:199" ht="15">
      <c r="B550" s="9"/>
      <c r="C550" s="9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</row>
    <row r="551" spans="2:199" ht="15">
      <c r="B551" s="9"/>
      <c r="C551" s="9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  <c r="GA551" s="9"/>
      <c r="GB551" s="9"/>
      <c r="GC551" s="9"/>
      <c r="GD551" s="9"/>
      <c r="GE551" s="9"/>
      <c r="GF551" s="9"/>
      <c r="GG551" s="9"/>
      <c r="GH551" s="9"/>
      <c r="GI551" s="9"/>
      <c r="GJ551" s="9"/>
      <c r="GK551" s="9"/>
      <c r="GL551" s="9"/>
      <c r="GM551" s="9"/>
      <c r="GN551" s="9"/>
      <c r="GO551" s="9"/>
      <c r="GP551" s="9"/>
      <c r="GQ551" s="9"/>
    </row>
    <row r="552" spans="2:199" ht="15">
      <c r="B552" s="9"/>
      <c r="C552" s="9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</row>
    <row r="553" spans="2:199" ht="15">
      <c r="B553" s="9"/>
      <c r="C553" s="9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  <c r="GA553" s="9"/>
      <c r="GB553" s="9"/>
      <c r="GC553" s="9"/>
      <c r="GD553" s="9"/>
      <c r="GE553" s="9"/>
      <c r="GF553" s="9"/>
      <c r="GG553" s="9"/>
      <c r="GH553" s="9"/>
      <c r="GI553" s="9"/>
      <c r="GJ553" s="9"/>
      <c r="GK553" s="9"/>
      <c r="GL553" s="9"/>
      <c r="GM553" s="9"/>
      <c r="GN553" s="9"/>
      <c r="GO553" s="9"/>
      <c r="GP553" s="9"/>
      <c r="GQ553" s="9"/>
    </row>
    <row r="554" spans="2:199" ht="15">
      <c r="B554" s="9"/>
      <c r="C554" s="9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</row>
    <row r="555" spans="2:199" ht="15">
      <c r="B555" s="9"/>
      <c r="C555" s="9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</row>
    <row r="556" spans="2:199" ht="15">
      <c r="B556" s="9"/>
      <c r="C556" s="9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  <c r="GA556" s="9"/>
      <c r="GB556" s="9"/>
      <c r="GC556" s="9"/>
      <c r="GD556" s="9"/>
      <c r="GE556" s="9"/>
      <c r="GF556" s="9"/>
      <c r="GG556" s="9"/>
      <c r="GH556" s="9"/>
      <c r="GI556" s="9"/>
      <c r="GJ556" s="9"/>
      <c r="GK556" s="9"/>
      <c r="GL556" s="9"/>
      <c r="GM556" s="9"/>
      <c r="GN556" s="9"/>
      <c r="GO556" s="9"/>
      <c r="GP556" s="9"/>
      <c r="GQ556" s="9"/>
    </row>
    <row r="557" spans="2:199" ht="15">
      <c r="B557" s="9"/>
      <c r="C557" s="9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</row>
    <row r="558" spans="2:199" ht="15">
      <c r="B558" s="9"/>
      <c r="C558" s="9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</row>
    <row r="559" spans="2:199" ht="15">
      <c r="B559" s="9"/>
      <c r="C559" s="9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</row>
    <row r="560" spans="2:199" ht="15">
      <c r="B560" s="9"/>
      <c r="C560" s="9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</row>
    <row r="561" spans="2:199" ht="15">
      <c r="B561" s="9"/>
      <c r="C561" s="9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</row>
    <row r="562" spans="2:199" ht="15">
      <c r="B562" s="9"/>
      <c r="C562" s="9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</row>
    <row r="563" spans="2:199" ht="15">
      <c r="B563" s="9"/>
      <c r="C563" s="9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</row>
    <row r="564" spans="2:199" ht="15">
      <c r="B564" s="9"/>
      <c r="C564" s="9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  <c r="GA564" s="9"/>
      <c r="GB564" s="9"/>
      <c r="GC564" s="9"/>
      <c r="GD564" s="9"/>
      <c r="GE564" s="9"/>
      <c r="GF564" s="9"/>
      <c r="GG564" s="9"/>
      <c r="GH564" s="9"/>
      <c r="GI564" s="9"/>
      <c r="GJ564" s="9"/>
      <c r="GK564" s="9"/>
      <c r="GL564" s="9"/>
      <c r="GM564" s="9"/>
      <c r="GN564" s="9"/>
      <c r="GO564" s="9"/>
      <c r="GP564" s="9"/>
      <c r="GQ564" s="9"/>
    </row>
    <row r="565" spans="2:199" ht="15">
      <c r="B565" s="9"/>
      <c r="C565" s="9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</row>
    <row r="566" spans="2:199" ht="15">
      <c r="B566" s="9"/>
      <c r="C566" s="9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  <c r="GA566" s="9"/>
      <c r="GB566" s="9"/>
      <c r="GC566" s="9"/>
      <c r="GD566" s="9"/>
      <c r="GE566" s="9"/>
      <c r="GF566" s="9"/>
      <c r="GG566" s="9"/>
      <c r="GH566" s="9"/>
      <c r="GI566" s="9"/>
      <c r="GJ566" s="9"/>
      <c r="GK566" s="9"/>
      <c r="GL566" s="9"/>
      <c r="GM566" s="9"/>
      <c r="GN566" s="9"/>
      <c r="GO566" s="9"/>
      <c r="GP566" s="9"/>
      <c r="GQ566" s="9"/>
    </row>
    <row r="567" spans="2:199" ht="15">
      <c r="B567" s="9"/>
      <c r="C567" s="9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</row>
    <row r="568" spans="2:199" ht="15">
      <c r="B568" s="9"/>
      <c r="C568" s="9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</row>
    <row r="569" spans="2:199" ht="15">
      <c r="B569" s="9"/>
      <c r="C569" s="9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</row>
    <row r="570" spans="2:199" ht="15">
      <c r="B570" s="9"/>
      <c r="C570" s="9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</row>
    <row r="571" spans="2:199" ht="15">
      <c r="B571" s="9"/>
      <c r="C571" s="9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</row>
    <row r="572" spans="2:199" ht="15">
      <c r="B572" s="9"/>
      <c r="C572" s="9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  <c r="GA572" s="9"/>
      <c r="GB572" s="9"/>
      <c r="GC572" s="9"/>
      <c r="GD572" s="9"/>
      <c r="GE572" s="9"/>
      <c r="GF572" s="9"/>
      <c r="GG572" s="9"/>
      <c r="GH572" s="9"/>
      <c r="GI572" s="9"/>
      <c r="GJ572" s="9"/>
      <c r="GK572" s="9"/>
      <c r="GL572" s="9"/>
      <c r="GM572" s="9"/>
      <c r="GN572" s="9"/>
      <c r="GO572" s="9"/>
      <c r="GP572" s="9"/>
      <c r="GQ572" s="9"/>
    </row>
    <row r="573" spans="2:199" ht="15">
      <c r="B573" s="9"/>
      <c r="C573" s="9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  <c r="GA573" s="9"/>
      <c r="GB573" s="9"/>
      <c r="GC573" s="9"/>
      <c r="GD573" s="9"/>
      <c r="GE573" s="9"/>
      <c r="GF573" s="9"/>
      <c r="GG573" s="9"/>
      <c r="GH573" s="9"/>
      <c r="GI573" s="9"/>
      <c r="GJ573" s="9"/>
      <c r="GK573" s="9"/>
      <c r="GL573" s="9"/>
      <c r="GM573" s="9"/>
      <c r="GN573" s="9"/>
      <c r="GO573" s="9"/>
      <c r="GP573" s="9"/>
      <c r="GQ573" s="9"/>
    </row>
    <row r="574" spans="2:199" ht="15">
      <c r="B574" s="9"/>
      <c r="C574" s="9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  <c r="GA574" s="9"/>
      <c r="GB574" s="9"/>
      <c r="GC574" s="9"/>
      <c r="GD574" s="9"/>
      <c r="GE574" s="9"/>
      <c r="GF574" s="9"/>
      <c r="GG574" s="9"/>
      <c r="GH574" s="9"/>
      <c r="GI574" s="9"/>
      <c r="GJ574" s="9"/>
      <c r="GK574" s="9"/>
      <c r="GL574" s="9"/>
      <c r="GM574" s="9"/>
      <c r="GN574" s="9"/>
      <c r="GO574" s="9"/>
      <c r="GP574" s="9"/>
      <c r="GQ574" s="9"/>
    </row>
    <row r="575" spans="2:199" ht="15">
      <c r="B575" s="9"/>
      <c r="C575" s="9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  <c r="FS575" s="9"/>
      <c r="FT575" s="9"/>
      <c r="FU575" s="9"/>
      <c r="FV575" s="9"/>
      <c r="FW575" s="9"/>
      <c r="FX575" s="9"/>
      <c r="FY575" s="9"/>
      <c r="FZ575" s="9"/>
      <c r="GA575" s="9"/>
      <c r="GB575" s="9"/>
      <c r="GC575" s="9"/>
      <c r="GD575" s="9"/>
      <c r="GE575" s="9"/>
      <c r="GF575" s="9"/>
      <c r="GG575" s="9"/>
      <c r="GH575" s="9"/>
      <c r="GI575" s="9"/>
      <c r="GJ575" s="9"/>
      <c r="GK575" s="9"/>
      <c r="GL575" s="9"/>
      <c r="GM575" s="9"/>
      <c r="GN575" s="9"/>
      <c r="GO575" s="9"/>
      <c r="GP575" s="9"/>
      <c r="GQ575" s="9"/>
    </row>
    <row r="576" spans="2:199" ht="15">
      <c r="B576" s="9"/>
      <c r="C576" s="9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  <c r="FS576" s="9"/>
      <c r="FT576" s="9"/>
      <c r="FU576" s="9"/>
      <c r="FV576" s="9"/>
      <c r="FW576" s="9"/>
      <c r="FX576" s="9"/>
      <c r="FY576" s="9"/>
      <c r="FZ576" s="9"/>
      <c r="GA576" s="9"/>
      <c r="GB576" s="9"/>
      <c r="GC576" s="9"/>
      <c r="GD576" s="9"/>
      <c r="GE576" s="9"/>
      <c r="GF576" s="9"/>
      <c r="GG576" s="9"/>
      <c r="GH576" s="9"/>
      <c r="GI576" s="9"/>
      <c r="GJ576" s="9"/>
      <c r="GK576" s="9"/>
      <c r="GL576" s="9"/>
      <c r="GM576" s="9"/>
      <c r="GN576" s="9"/>
      <c r="GO576" s="9"/>
      <c r="GP576" s="9"/>
      <c r="GQ576" s="9"/>
    </row>
    <row r="577" spans="2:199" ht="15">
      <c r="B577" s="9"/>
      <c r="C577" s="9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  <c r="GA577" s="9"/>
      <c r="GB577" s="9"/>
      <c r="GC577" s="9"/>
      <c r="GD577" s="9"/>
      <c r="GE577" s="9"/>
      <c r="GF577" s="9"/>
      <c r="GG577" s="9"/>
      <c r="GH577" s="9"/>
      <c r="GI577" s="9"/>
      <c r="GJ577" s="9"/>
      <c r="GK577" s="9"/>
      <c r="GL577" s="9"/>
      <c r="GM577" s="9"/>
      <c r="GN577" s="9"/>
      <c r="GO577" s="9"/>
      <c r="GP577" s="9"/>
      <c r="GQ577" s="9"/>
    </row>
    <row r="578" spans="2:199" ht="15">
      <c r="B578" s="9"/>
      <c r="C578" s="9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  <c r="GA578" s="9"/>
      <c r="GB578" s="9"/>
      <c r="GC578" s="9"/>
      <c r="GD578" s="9"/>
      <c r="GE578" s="9"/>
      <c r="GF578" s="9"/>
      <c r="GG578" s="9"/>
      <c r="GH578" s="9"/>
      <c r="GI578" s="9"/>
      <c r="GJ578" s="9"/>
      <c r="GK578" s="9"/>
      <c r="GL578" s="9"/>
      <c r="GM578" s="9"/>
      <c r="GN578" s="9"/>
      <c r="GO578" s="9"/>
      <c r="GP578" s="9"/>
      <c r="GQ578" s="9"/>
    </row>
    <row r="579" spans="2:199" ht="15">
      <c r="B579" s="9"/>
      <c r="C579" s="9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  <c r="FS579" s="9"/>
      <c r="FT579" s="9"/>
      <c r="FU579" s="9"/>
      <c r="FV579" s="9"/>
      <c r="FW579" s="9"/>
      <c r="FX579" s="9"/>
      <c r="FY579" s="9"/>
      <c r="FZ579" s="9"/>
      <c r="GA579" s="9"/>
      <c r="GB579" s="9"/>
      <c r="GC579" s="9"/>
      <c r="GD579" s="9"/>
      <c r="GE579" s="9"/>
      <c r="GF579" s="9"/>
      <c r="GG579" s="9"/>
      <c r="GH579" s="9"/>
      <c r="GI579" s="9"/>
      <c r="GJ579" s="9"/>
      <c r="GK579" s="9"/>
      <c r="GL579" s="9"/>
      <c r="GM579" s="9"/>
      <c r="GN579" s="9"/>
      <c r="GO579" s="9"/>
      <c r="GP579" s="9"/>
      <c r="GQ579" s="9"/>
    </row>
    <row r="580" spans="2:199" ht="15">
      <c r="B580" s="9"/>
      <c r="C580" s="9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  <c r="FS580" s="9"/>
      <c r="FT580" s="9"/>
      <c r="FU580" s="9"/>
      <c r="FV580" s="9"/>
      <c r="FW580" s="9"/>
      <c r="FX580" s="9"/>
      <c r="FY580" s="9"/>
      <c r="FZ580" s="9"/>
      <c r="GA580" s="9"/>
      <c r="GB580" s="9"/>
      <c r="GC580" s="9"/>
      <c r="GD580" s="9"/>
      <c r="GE580" s="9"/>
      <c r="GF580" s="9"/>
      <c r="GG580" s="9"/>
      <c r="GH580" s="9"/>
      <c r="GI580" s="9"/>
      <c r="GJ580" s="9"/>
      <c r="GK580" s="9"/>
      <c r="GL580" s="9"/>
      <c r="GM580" s="9"/>
      <c r="GN580" s="9"/>
      <c r="GO580" s="9"/>
      <c r="GP580" s="9"/>
      <c r="GQ580" s="9"/>
    </row>
    <row r="581" spans="2:199" ht="15">
      <c r="B581" s="9"/>
      <c r="C581" s="9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  <c r="FS581" s="9"/>
      <c r="FT581" s="9"/>
      <c r="FU581" s="9"/>
      <c r="FV581" s="9"/>
      <c r="FW581" s="9"/>
      <c r="FX581" s="9"/>
      <c r="FY581" s="9"/>
      <c r="FZ581" s="9"/>
      <c r="GA581" s="9"/>
      <c r="GB581" s="9"/>
      <c r="GC581" s="9"/>
      <c r="GD581" s="9"/>
      <c r="GE581" s="9"/>
      <c r="GF581" s="9"/>
      <c r="GG581" s="9"/>
      <c r="GH581" s="9"/>
      <c r="GI581" s="9"/>
      <c r="GJ581" s="9"/>
      <c r="GK581" s="9"/>
      <c r="GL581" s="9"/>
      <c r="GM581" s="9"/>
      <c r="GN581" s="9"/>
      <c r="GO581" s="9"/>
      <c r="GP581" s="9"/>
      <c r="GQ581" s="9"/>
    </row>
    <row r="582" spans="2:199" ht="15">
      <c r="B582" s="9"/>
      <c r="C582" s="9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  <c r="FS582" s="9"/>
      <c r="FT582" s="9"/>
      <c r="FU582" s="9"/>
      <c r="FV582" s="9"/>
      <c r="FW582" s="9"/>
      <c r="FX582" s="9"/>
      <c r="FY582" s="9"/>
      <c r="FZ582" s="9"/>
      <c r="GA582" s="9"/>
      <c r="GB582" s="9"/>
      <c r="GC582" s="9"/>
      <c r="GD582" s="9"/>
      <c r="GE582" s="9"/>
      <c r="GF582" s="9"/>
      <c r="GG582" s="9"/>
      <c r="GH582" s="9"/>
      <c r="GI582" s="9"/>
      <c r="GJ582" s="9"/>
      <c r="GK582" s="9"/>
      <c r="GL582" s="9"/>
      <c r="GM582" s="9"/>
      <c r="GN582" s="9"/>
      <c r="GO582" s="9"/>
      <c r="GP582" s="9"/>
      <c r="GQ582" s="9"/>
    </row>
    <row r="583" spans="2:199" ht="15">
      <c r="B583" s="9"/>
      <c r="C583" s="9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  <c r="GA583" s="9"/>
      <c r="GB583" s="9"/>
      <c r="GC583" s="9"/>
      <c r="GD583" s="9"/>
      <c r="GE583" s="9"/>
      <c r="GF583" s="9"/>
      <c r="GG583" s="9"/>
      <c r="GH583" s="9"/>
      <c r="GI583" s="9"/>
      <c r="GJ583" s="9"/>
      <c r="GK583" s="9"/>
      <c r="GL583" s="9"/>
      <c r="GM583" s="9"/>
      <c r="GN583" s="9"/>
      <c r="GO583" s="9"/>
      <c r="GP583" s="9"/>
      <c r="GQ583" s="9"/>
    </row>
    <row r="584" spans="2:199" ht="15">
      <c r="B584" s="9"/>
      <c r="C584" s="9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  <c r="FS584" s="9"/>
      <c r="FT584" s="9"/>
      <c r="FU584" s="9"/>
      <c r="FV584" s="9"/>
      <c r="FW584" s="9"/>
      <c r="FX584" s="9"/>
      <c r="FY584" s="9"/>
      <c r="FZ584" s="9"/>
      <c r="GA584" s="9"/>
      <c r="GB584" s="9"/>
      <c r="GC584" s="9"/>
      <c r="GD584" s="9"/>
      <c r="GE584" s="9"/>
      <c r="GF584" s="9"/>
      <c r="GG584" s="9"/>
      <c r="GH584" s="9"/>
      <c r="GI584" s="9"/>
      <c r="GJ584" s="9"/>
      <c r="GK584" s="9"/>
      <c r="GL584" s="9"/>
      <c r="GM584" s="9"/>
      <c r="GN584" s="9"/>
      <c r="GO584" s="9"/>
      <c r="GP584" s="9"/>
      <c r="GQ584" s="9"/>
    </row>
    <row r="585" spans="2:199" ht="15">
      <c r="B585" s="9"/>
      <c r="C585" s="9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  <c r="GA585" s="9"/>
      <c r="GB585" s="9"/>
      <c r="GC585" s="9"/>
      <c r="GD585" s="9"/>
      <c r="GE585" s="9"/>
      <c r="GF585" s="9"/>
      <c r="GG585" s="9"/>
      <c r="GH585" s="9"/>
      <c r="GI585" s="9"/>
      <c r="GJ585" s="9"/>
      <c r="GK585" s="9"/>
      <c r="GL585" s="9"/>
      <c r="GM585" s="9"/>
      <c r="GN585" s="9"/>
      <c r="GO585" s="9"/>
      <c r="GP585" s="9"/>
      <c r="GQ585" s="9"/>
    </row>
    <row r="586" spans="2:199" ht="15">
      <c r="B586" s="9"/>
      <c r="C586" s="9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  <c r="GA586" s="9"/>
      <c r="GB586" s="9"/>
      <c r="GC586" s="9"/>
      <c r="GD586" s="9"/>
      <c r="GE586" s="9"/>
      <c r="GF586" s="9"/>
      <c r="GG586" s="9"/>
      <c r="GH586" s="9"/>
      <c r="GI586" s="9"/>
      <c r="GJ586" s="9"/>
      <c r="GK586" s="9"/>
      <c r="GL586" s="9"/>
      <c r="GM586" s="9"/>
      <c r="GN586" s="9"/>
      <c r="GO586" s="9"/>
      <c r="GP586" s="9"/>
      <c r="GQ586" s="9"/>
    </row>
    <row r="587" spans="2:199" ht="15">
      <c r="B587" s="9"/>
      <c r="C587" s="9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</row>
    <row r="588" spans="2:199" ht="15">
      <c r="B588" s="9"/>
      <c r="C588" s="9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  <c r="FS588" s="9"/>
      <c r="FT588" s="9"/>
      <c r="FU588" s="9"/>
      <c r="FV588" s="9"/>
      <c r="FW588" s="9"/>
      <c r="FX588" s="9"/>
      <c r="FY588" s="9"/>
      <c r="FZ588" s="9"/>
      <c r="GA588" s="9"/>
      <c r="GB588" s="9"/>
      <c r="GC588" s="9"/>
      <c r="GD588" s="9"/>
      <c r="GE588" s="9"/>
      <c r="GF588" s="9"/>
      <c r="GG588" s="9"/>
      <c r="GH588" s="9"/>
      <c r="GI588" s="9"/>
      <c r="GJ588" s="9"/>
      <c r="GK588" s="9"/>
      <c r="GL588" s="9"/>
      <c r="GM588" s="9"/>
      <c r="GN588" s="9"/>
      <c r="GO588" s="9"/>
      <c r="GP588" s="9"/>
      <c r="GQ588" s="9"/>
    </row>
    <row r="589" spans="2:199" ht="15">
      <c r="B589" s="9"/>
      <c r="C589" s="9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</row>
    <row r="590" spans="2:199" ht="1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  <c r="GA590" s="9"/>
      <c r="GB590" s="9"/>
      <c r="GC590" s="9"/>
      <c r="GD590" s="9"/>
      <c r="GE590" s="9"/>
      <c r="GF590" s="9"/>
      <c r="GG590" s="9"/>
      <c r="GH590" s="9"/>
      <c r="GI590" s="9"/>
      <c r="GJ590" s="9"/>
      <c r="GK590" s="9"/>
      <c r="GL590" s="9"/>
      <c r="GM590" s="9"/>
      <c r="GN590" s="9"/>
      <c r="GO590" s="9"/>
      <c r="GP590" s="9"/>
      <c r="GQ590" s="9"/>
    </row>
    <row r="591" spans="2:199" ht="1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  <c r="GA591" s="9"/>
      <c r="GB591" s="9"/>
      <c r="GC591" s="9"/>
      <c r="GD591" s="9"/>
      <c r="GE591" s="9"/>
      <c r="GF591" s="9"/>
      <c r="GG591" s="9"/>
      <c r="GH591" s="9"/>
      <c r="GI591" s="9"/>
      <c r="GJ591" s="9"/>
      <c r="GK591" s="9"/>
      <c r="GL591" s="9"/>
      <c r="GM591" s="9"/>
      <c r="GN591" s="9"/>
      <c r="GO591" s="9"/>
      <c r="GP591" s="9"/>
      <c r="GQ591" s="9"/>
    </row>
    <row r="592" spans="2:199" ht="1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</row>
    <row r="593" spans="2:199" ht="1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</row>
    <row r="594" spans="2:199" ht="1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  <c r="GA594" s="9"/>
      <c r="GB594" s="9"/>
      <c r="GC594" s="9"/>
      <c r="GD594" s="9"/>
      <c r="GE594" s="9"/>
      <c r="GF594" s="9"/>
      <c r="GG594" s="9"/>
      <c r="GH594" s="9"/>
      <c r="GI594" s="9"/>
      <c r="GJ594" s="9"/>
      <c r="GK594" s="9"/>
      <c r="GL594" s="9"/>
      <c r="GM594" s="9"/>
      <c r="GN594" s="9"/>
      <c r="GO594" s="9"/>
      <c r="GP594" s="9"/>
      <c r="GQ594" s="9"/>
    </row>
    <row r="595" spans="2:199" ht="1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  <c r="GA595" s="9"/>
      <c r="GB595" s="9"/>
      <c r="GC595" s="9"/>
      <c r="GD595" s="9"/>
      <c r="GE595" s="9"/>
      <c r="GF595" s="9"/>
      <c r="GG595" s="9"/>
      <c r="GH595" s="9"/>
      <c r="GI595" s="9"/>
      <c r="GJ595" s="9"/>
      <c r="GK595" s="9"/>
      <c r="GL595" s="9"/>
      <c r="GM595" s="9"/>
      <c r="GN595" s="9"/>
      <c r="GO595" s="9"/>
      <c r="GP595" s="9"/>
      <c r="GQ595" s="9"/>
    </row>
    <row r="596" spans="2:199" ht="1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  <c r="FS596" s="9"/>
      <c r="FT596" s="9"/>
      <c r="FU596" s="9"/>
      <c r="FV596" s="9"/>
      <c r="FW596" s="9"/>
      <c r="FX596" s="9"/>
      <c r="FY596" s="9"/>
      <c r="FZ596" s="9"/>
      <c r="GA596" s="9"/>
      <c r="GB596" s="9"/>
      <c r="GC596" s="9"/>
      <c r="GD596" s="9"/>
      <c r="GE596" s="9"/>
      <c r="GF596" s="9"/>
      <c r="GG596" s="9"/>
      <c r="GH596" s="9"/>
      <c r="GI596" s="9"/>
      <c r="GJ596" s="9"/>
      <c r="GK596" s="9"/>
      <c r="GL596" s="9"/>
      <c r="GM596" s="9"/>
      <c r="GN596" s="9"/>
      <c r="GO596" s="9"/>
      <c r="GP596" s="9"/>
      <c r="GQ596" s="9"/>
    </row>
    <row r="597" spans="2:199" ht="1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  <c r="FJ597" s="9"/>
      <c r="FK597" s="9"/>
      <c r="FL597" s="9"/>
      <c r="FM597" s="9"/>
      <c r="FN597" s="9"/>
      <c r="FO597" s="9"/>
      <c r="FP597" s="9"/>
      <c r="FQ597" s="9"/>
      <c r="FR597" s="9"/>
      <c r="FS597" s="9"/>
      <c r="FT597" s="9"/>
      <c r="FU597" s="9"/>
      <c r="FV597" s="9"/>
      <c r="FW597" s="9"/>
      <c r="FX597" s="9"/>
      <c r="FY597" s="9"/>
      <c r="FZ597" s="9"/>
      <c r="GA597" s="9"/>
      <c r="GB597" s="9"/>
      <c r="GC597" s="9"/>
      <c r="GD597" s="9"/>
      <c r="GE597" s="9"/>
      <c r="GF597" s="9"/>
      <c r="GG597" s="9"/>
      <c r="GH597" s="9"/>
      <c r="GI597" s="9"/>
      <c r="GJ597" s="9"/>
      <c r="GK597" s="9"/>
      <c r="GL597" s="9"/>
      <c r="GM597" s="9"/>
      <c r="GN597" s="9"/>
      <c r="GO597" s="9"/>
      <c r="GP597" s="9"/>
      <c r="GQ597" s="9"/>
    </row>
    <row r="598" spans="2:199" ht="1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  <c r="GA598" s="9"/>
      <c r="GB598" s="9"/>
      <c r="GC598" s="9"/>
      <c r="GD598" s="9"/>
      <c r="GE598" s="9"/>
      <c r="GF598" s="9"/>
      <c r="GG598" s="9"/>
      <c r="GH598" s="9"/>
      <c r="GI598" s="9"/>
      <c r="GJ598" s="9"/>
      <c r="GK598" s="9"/>
      <c r="GL598" s="9"/>
      <c r="GM598" s="9"/>
      <c r="GN598" s="9"/>
      <c r="GO598" s="9"/>
      <c r="GP598" s="9"/>
      <c r="GQ598" s="9"/>
    </row>
    <row r="599" spans="2:199" ht="1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  <c r="GA599" s="9"/>
      <c r="GB599" s="9"/>
      <c r="GC599" s="9"/>
      <c r="GD599" s="9"/>
      <c r="GE599" s="9"/>
      <c r="GF599" s="9"/>
      <c r="GG599" s="9"/>
      <c r="GH599" s="9"/>
      <c r="GI599" s="9"/>
      <c r="GJ599" s="9"/>
      <c r="GK599" s="9"/>
      <c r="GL599" s="9"/>
      <c r="GM599" s="9"/>
      <c r="GN599" s="9"/>
      <c r="GO599" s="9"/>
      <c r="GP599" s="9"/>
      <c r="GQ599" s="9"/>
    </row>
    <row r="600" spans="2:199" ht="1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  <c r="GA600" s="9"/>
      <c r="GB600" s="9"/>
      <c r="GC600" s="9"/>
      <c r="GD600" s="9"/>
      <c r="GE600" s="9"/>
      <c r="GF600" s="9"/>
      <c r="GG600" s="9"/>
      <c r="GH600" s="9"/>
      <c r="GI600" s="9"/>
      <c r="GJ600" s="9"/>
      <c r="GK600" s="9"/>
      <c r="GL600" s="9"/>
      <c r="GM600" s="9"/>
      <c r="GN600" s="9"/>
      <c r="GO600" s="9"/>
      <c r="GP600" s="9"/>
      <c r="GQ600" s="9"/>
    </row>
    <row r="601" spans="2:199" ht="15"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  <c r="FS601" s="9"/>
      <c r="FT601" s="9"/>
      <c r="FU601" s="9"/>
      <c r="FV601" s="9"/>
      <c r="FW601" s="9"/>
      <c r="FX601" s="9"/>
      <c r="FY601" s="9"/>
      <c r="FZ601" s="9"/>
      <c r="GA601" s="9"/>
      <c r="GB601" s="9"/>
      <c r="GC601" s="9"/>
      <c r="GD601" s="9"/>
      <c r="GE601" s="9"/>
      <c r="GF601" s="9"/>
      <c r="GG601" s="9"/>
      <c r="GH601" s="9"/>
      <c r="GI601" s="9"/>
      <c r="GJ601" s="9"/>
      <c r="GK601" s="9"/>
      <c r="GL601" s="9"/>
      <c r="GM601" s="9"/>
      <c r="GN601" s="9"/>
      <c r="GO601" s="9"/>
      <c r="GP601" s="9"/>
      <c r="GQ601" s="9"/>
    </row>
    <row r="602" spans="2:199" ht="15"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  <c r="FS602" s="9"/>
      <c r="FT602" s="9"/>
      <c r="FU602" s="9"/>
      <c r="FV602" s="9"/>
      <c r="FW602" s="9"/>
      <c r="FX602" s="9"/>
      <c r="FY602" s="9"/>
      <c r="FZ602" s="9"/>
      <c r="GA602" s="9"/>
      <c r="GB602" s="9"/>
      <c r="GC602" s="9"/>
      <c r="GD602" s="9"/>
      <c r="GE602" s="9"/>
      <c r="GF602" s="9"/>
      <c r="GG602" s="9"/>
      <c r="GH602" s="9"/>
      <c r="GI602" s="9"/>
      <c r="GJ602" s="9"/>
      <c r="GK602" s="9"/>
      <c r="GL602" s="9"/>
      <c r="GM602" s="9"/>
      <c r="GN602" s="9"/>
      <c r="GO602" s="9"/>
      <c r="GP602" s="9"/>
      <c r="GQ602" s="9"/>
    </row>
    <row r="603" spans="2:199" ht="15"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</row>
    <row r="604" spans="2:199" ht="15"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</row>
    <row r="605" spans="2:199" ht="15"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  <c r="GA605" s="9"/>
      <c r="GB605" s="9"/>
      <c r="GC605" s="9"/>
      <c r="GD605" s="9"/>
      <c r="GE605" s="9"/>
      <c r="GF605" s="9"/>
      <c r="GG605" s="9"/>
      <c r="GH605" s="9"/>
      <c r="GI605" s="9"/>
      <c r="GJ605" s="9"/>
      <c r="GK605" s="9"/>
      <c r="GL605" s="9"/>
      <c r="GM605" s="9"/>
      <c r="GN605" s="9"/>
      <c r="GO605" s="9"/>
      <c r="GP605" s="9"/>
      <c r="GQ605" s="9"/>
    </row>
    <row r="606" spans="2:199" ht="15"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  <c r="FJ606" s="9"/>
      <c r="FK606" s="9"/>
      <c r="FL606" s="9"/>
      <c r="FM606" s="9"/>
      <c r="FN606" s="9"/>
      <c r="FO606" s="9"/>
      <c r="FP606" s="9"/>
      <c r="FQ606" s="9"/>
      <c r="FR606" s="9"/>
      <c r="FS606" s="9"/>
      <c r="FT606" s="9"/>
      <c r="FU606" s="9"/>
      <c r="FV606" s="9"/>
      <c r="FW606" s="9"/>
      <c r="FX606" s="9"/>
      <c r="FY606" s="9"/>
      <c r="FZ606" s="9"/>
      <c r="GA606" s="9"/>
      <c r="GB606" s="9"/>
      <c r="GC606" s="9"/>
      <c r="GD606" s="9"/>
      <c r="GE606" s="9"/>
      <c r="GF606" s="9"/>
      <c r="GG606" s="9"/>
      <c r="GH606" s="9"/>
      <c r="GI606" s="9"/>
      <c r="GJ606" s="9"/>
      <c r="GK606" s="9"/>
      <c r="GL606" s="9"/>
      <c r="GM606" s="9"/>
      <c r="GN606" s="9"/>
      <c r="GO606" s="9"/>
      <c r="GP606" s="9"/>
      <c r="GQ606" s="9"/>
    </row>
    <row r="607" spans="2:199" ht="15"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  <c r="FS607" s="9"/>
      <c r="FT607" s="9"/>
      <c r="FU607" s="9"/>
      <c r="FV607" s="9"/>
      <c r="FW607" s="9"/>
      <c r="FX607" s="9"/>
      <c r="FY607" s="9"/>
      <c r="FZ607" s="9"/>
      <c r="GA607" s="9"/>
      <c r="GB607" s="9"/>
      <c r="GC607" s="9"/>
      <c r="GD607" s="9"/>
      <c r="GE607" s="9"/>
      <c r="GF607" s="9"/>
      <c r="GG607" s="9"/>
      <c r="GH607" s="9"/>
      <c r="GI607" s="9"/>
      <c r="GJ607" s="9"/>
      <c r="GK607" s="9"/>
      <c r="GL607" s="9"/>
      <c r="GM607" s="9"/>
      <c r="GN607" s="9"/>
      <c r="GO607" s="9"/>
      <c r="GP607" s="9"/>
      <c r="GQ607" s="9"/>
    </row>
    <row r="608" spans="2:199" ht="15"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  <c r="FS608" s="9"/>
      <c r="FT608" s="9"/>
      <c r="FU608" s="9"/>
      <c r="FV608" s="9"/>
      <c r="FW608" s="9"/>
      <c r="FX608" s="9"/>
      <c r="FY608" s="9"/>
      <c r="FZ608" s="9"/>
      <c r="GA608" s="9"/>
      <c r="GB608" s="9"/>
      <c r="GC608" s="9"/>
      <c r="GD608" s="9"/>
      <c r="GE608" s="9"/>
      <c r="GF608" s="9"/>
      <c r="GG608" s="9"/>
      <c r="GH608" s="9"/>
      <c r="GI608" s="9"/>
      <c r="GJ608" s="9"/>
      <c r="GK608" s="9"/>
      <c r="GL608" s="9"/>
      <c r="GM608" s="9"/>
      <c r="GN608" s="9"/>
      <c r="GO608" s="9"/>
      <c r="GP608" s="9"/>
      <c r="GQ608" s="9"/>
    </row>
    <row r="609" spans="2:199" ht="15"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  <c r="FJ609" s="9"/>
      <c r="FK609" s="9"/>
      <c r="FL609" s="9"/>
      <c r="FM609" s="9"/>
      <c r="FN609" s="9"/>
      <c r="FO609" s="9"/>
      <c r="FP609" s="9"/>
      <c r="FQ609" s="9"/>
      <c r="FR609" s="9"/>
      <c r="FS609" s="9"/>
      <c r="FT609" s="9"/>
      <c r="FU609" s="9"/>
      <c r="FV609" s="9"/>
      <c r="FW609" s="9"/>
      <c r="FX609" s="9"/>
      <c r="FY609" s="9"/>
      <c r="FZ609" s="9"/>
      <c r="GA609" s="9"/>
      <c r="GB609" s="9"/>
      <c r="GC609" s="9"/>
      <c r="GD609" s="9"/>
      <c r="GE609" s="9"/>
      <c r="GF609" s="9"/>
      <c r="GG609" s="9"/>
      <c r="GH609" s="9"/>
      <c r="GI609" s="9"/>
      <c r="GJ609" s="9"/>
      <c r="GK609" s="9"/>
      <c r="GL609" s="9"/>
      <c r="GM609" s="9"/>
      <c r="GN609" s="9"/>
      <c r="GO609" s="9"/>
      <c r="GP609" s="9"/>
      <c r="GQ609" s="9"/>
    </row>
    <row r="610" spans="2:199" ht="15"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  <c r="GA610" s="9"/>
      <c r="GB610" s="9"/>
      <c r="GC610" s="9"/>
      <c r="GD610" s="9"/>
      <c r="GE610" s="9"/>
      <c r="GF610" s="9"/>
      <c r="GG610" s="9"/>
      <c r="GH610" s="9"/>
      <c r="GI610" s="9"/>
      <c r="GJ610" s="9"/>
      <c r="GK610" s="9"/>
      <c r="GL610" s="9"/>
      <c r="GM610" s="9"/>
      <c r="GN610" s="9"/>
      <c r="GO610" s="9"/>
      <c r="GP610" s="9"/>
      <c r="GQ610" s="9"/>
    </row>
    <row r="611" spans="2:199" ht="15"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  <c r="GA611" s="9"/>
      <c r="GB611" s="9"/>
      <c r="GC611" s="9"/>
      <c r="GD611" s="9"/>
      <c r="GE611" s="9"/>
      <c r="GF611" s="9"/>
      <c r="GG611" s="9"/>
      <c r="GH611" s="9"/>
      <c r="GI611" s="9"/>
      <c r="GJ611" s="9"/>
      <c r="GK611" s="9"/>
      <c r="GL611" s="9"/>
      <c r="GM611" s="9"/>
      <c r="GN611" s="9"/>
      <c r="GO611" s="9"/>
      <c r="GP611" s="9"/>
      <c r="GQ611" s="9"/>
    </row>
    <row r="612" spans="2:199" ht="15"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  <c r="FJ612" s="9"/>
      <c r="FK612" s="9"/>
      <c r="FL612" s="9"/>
      <c r="FM612" s="9"/>
      <c r="FN612" s="9"/>
      <c r="FO612" s="9"/>
      <c r="FP612" s="9"/>
      <c r="FQ612" s="9"/>
      <c r="FR612" s="9"/>
      <c r="FS612" s="9"/>
      <c r="FT612" s="9"/>
      <c r="FU612" s="9"/>
      <c r="FV612" s="9"/>
      <c r="FW612" s="9"/>
      <c r="FX612" s="9"/>
      <c r="FY612" s="9"/>
      <c r="FZ612" s="9"/>
      <c r="GA612" s="9"/>
      <c r="GB612" s="9"/>
      <c r="GC612" s="9"/>
      <c r="GD612" s="9"/>
      <c r="GE612" s="9"/>
      <c r="GF612" s="9"/>
      <c r="GG612" s="9"/>
      <c r="GH612" s="9"/>
      <c r="GI612" s="9"/>
      <c r="GJ612" s="9"/>
      <c r="GK612" s="9"/>
      <c r="GL612" s="9"/>
      <c r="GM612" s="9"/>
      <c r="GN612" s="9"/>
      <c r="GO612" s="9"/>
      <c r="GP612" s="9"/>
      <c r="GQ612" s="9"/>
    </row>
    <row r="613" spans="2:199" ht="15"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  <c r="FI613" s="9"/>
      <c r="FJ613" s="9"/>
      <c r="FK613" s="9"/>
      <c r="FL613" s="9"/>
      <c r="FM613" s="9"/>
      <c r="FN613" s="9"/>
      <c r="FO613" s="9"/>
      <c r="FP613" s="9"/>
      <c r="FQ613" s="9"/>
      <c r="FR613" s="9"/>
      <c r="FS613" s="9"/>
      <c r="FT613" s="9"/>
      <c r="FU613" s="9"/>
      <c r="FV613" s="9"/>
      <c r="FW613" s="9"/>
      <c r="FX613" s="9"/>
      <c r="FY613" s="9"/>
      <c r="FZ613" s="9"/>
      <c r="GA613" s="9"/>
      <c r="GB613" s="9"/>
      <c r="GC613" s="9"/>
      <c r="GD613" s="9"/>
      <c r="GE613" s="9"/>
      <c r="GF613" s="9"/>
      <c r="GG613" s="9"/>
      <c r="GH613" s="9"/>
      <c r="GI613" s="9"/>
      <c r="GJ613" s="9"/>
      <c r="GK613" s="9"/>
      <c r="GL613" s="9"/>
      <c r="GM613" s="9"/>
      <c r="GN613" s="9"/>
      <c r="GO613" s="9"/>
      <c r="GP613" s="9"/>
      <c r="GQ613" s="9"/>
    </row>
    <row r="614" spans="2:199" ht="15"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  <c r="FI614" s="9"/>
      <c r="FJ614" s="9"/>
      <c r="FK614" s="9"/>
      <c r="FL614" s="9"/>
      <c r="FM614" s="9"/>
      <c r="FN614" s="9"/>
      <c r="FO614" s="9"/>
      <c r="FP614" s="9"/>
      <c r="FQ614" s="9"/>
      <c r="FR614" s="9"/>
      <c r="FS614" s="9"/>
      <c r="FT614" s="9"/>
      <c r="FU614" s="9"/>
      <c r="FV614" s="9"/>
      <c r="FW614" s="9"/>
      <c r="FX614" s="9"/>
      <c r="FY614" s="9"/>
      <c r="FZ614" s="9"/>
      <c r="GA614" s="9"/>
      <c r="GB614" s="9"/>
      <c r="GC614" s="9"/>
      <c r="GD614" s="9"/>
      <c r="GE614" s="9"/>
      <c r="GF614" s="9"/>
      <c r="GG614" s="9"/>
      <c r="GH614" s="9"/>
      <c r="GI614" s="9"/>
      <c r="GJ614" s="9"/>
      <c r="GK614" s="9"/>
      <c r="GL614" s="9"/>
      <c r="GM614" s="9"/>
      <c r="GN614" s="9"/>
      <c r="GO614" s="9"/>
      <c r="GP614" s="9"/>
      <c r="GQ614" s="9"/>
    </row>
    <row r="615" spans="2:199" ht="15"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  <c r="FI615" s="9"/>
      <c r="FJ615" s="9"/>
      <c r="FK615" s="9"/>
      <c r="FL615" s="9"/>
      <c r="FM615" s="9"/>
      <c r="FN615" s="9"/>
      <c r="FO615" s="9"/>
      <c r="FP615" s="9"/>
      <c r="FQ615" s="9"/>
      <c r="FR615" s="9"/>
      <c r="FS615" s="9"/>
      <c r="FT615" s="9"/>
      <c r="FU615" s="9"/>
      <c r="FV615" s="9"/>
      <c r="FW615" s="9"/>
      <c r="FX615" s="9"/>
      <c r="FY615" s="9"/>
      <c r="FZ615" s="9"/>
      <c r="GA615" s="9"/>
      <c r="GB615" s="9"/>
      <c r="GC615" s="9"/>
      <c r="GD615" s="9"/>
      <c r="GE615" s="9"/>
      <c r="GF615" s="9"/>
      <c r="GG615" s="9"/>
      <c r="GH615" s="9"/>
      <c r="GI615" s="9"/>
      <c r="GJ615" s="9"/>
      <c r="GK615" s="9"/>
      <c r="GL615" s="9"/>
      <c r="GM615" s="9"/>
      <c r="GN615" s="9"/>
      <c r="GO615" s="9"/>
      <c r="GP615" s="9"/>
      <c r="GQ615" s="9"/>
    </row>
    <row r="616" spans="2:199" ht="15"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  <c r="FJ616" s="9"/>
      <c r="FK616" s="9"/>
      <c r="FL616" s="9"/>
      <c r="FM616" s="9"/>
      <c r="FN616" s="9"/>
      <c r="FO616" s="9"/>
      <c r="FP616" s="9"/>
      <c r="FQ616" s="9"/>
      <c r="FR616" s="9"/>
      <c r="FS616" s="9"/>
      <c r="FT616" s="9"/>
      <c r="FU616" s="9"/>
      <c r="FV616" s="9"/>
      <c r="FW616" s="9"/>
      <c r="FX616" s="9"/>
      <c r="FY616" s="9"/>
      <c r="FZ616" s="9"/>
      <c r="GA616" s="9"/>
      <c r="GB616" s="9"/>
      <c r="GC616" s="9"/>
      <c r="GD616" s="9"/>
      <c r="GE616" s="9"/>
      <c r="GF616" s="9"/>
      <c r="GG616" s="9"/>
      <c r="GH616" s="9"/>
      <c r="GI616" s="9"/>
      <c r="GJ616" s="9"/>
      <c r="GK616" s="9"/>
      <c r="GL616" s="9"/>
      <c r="GM616" s="9"/>
      <c r="GN616" s="9"/>
      <c r="GO616" s="9"/>
      <c r="GP616" s="9"/>
      <c r="GQ616" s="9"/>
    </row>
    <row r="617" spans="2:199" ht="15"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  <c r="FI617" s="9"/>
      <c r="FJ617" s="9"/>
      <c r="FK617" s="9"/>
      <c r="FL617" s="9"/>
      <c r="FM617" s="9"/>
      <c r="FN617" s="9"/>
      <c r="FO617" s="9"/>
      <c r="FP617" s="9"/>
      <c r="FQ617" s="9"/>
      <c r="FR617" s="9"/>
      <c r="FS617" s="9"/>
      <c r="FT617" s="9"/>
      <c r="FU617" s="9"/>
      <c r="FV617" s="9"/>
      <c r="FW617" s="9"/>
      <c r="FX617" s="9"/>
      <c r="FY617" s="9"/>
      <c r="FZ617" s="9"/>
      <c r="GA617" s="9"/>
      <c r="GB617" s="9"/>
      <c r="GC617" s="9"/>
      <c r="GD617" s="9"/>
      <c r="GE617" s="9"/>
      <c r="GF617" s="9"/>
      <c r="GG617" s="9"/>
      <c r="GH617" s="9"/>
      <c r="GI617" s="9"/>
      <c r="GJ617" s="9"/>
      <c r="GK617" s="9"/>
      <c r="GL617" s="9"/>
      <c r="GM617" s="9"/>
      <c r="GN617" s="9"/>
      <c r="GO617" s="9"/>
      <c r="GP617" s="9"/>
      <c r="GQ617" s="9"/>
    </row>
    <row r="618" spans="2:199" ht="15"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  <c r="FH618" s="9"/>
      <c r="FI618" s="9"/>
      <c r="FJ618" s="9"/>
      <c r="FK618" s="9"/>
      <c r="FL618" s="9"/>
      <c r="FM618" s="9"/>
      <c r="FN618" s="9"/>
      <c r="FO618" s="9"/>
      <c r="FP618" s="9"/>
      <c r="FQ618" s="9"/>
      <c r="FR618" s="9"/>
      <c r="FS618" s="9"/>
      <c r="FT618" s="9"/>
      <c r="FU618" s="9"/>
      <c r="FV618" s="9"/>
      <c r="FW618" s="9"/>
      <c r="FX618" s="9"/>
      <c r="FY618" s="9"/>
      <c r="FZ618" s="9"/>
      <c r="GA618" s="9"/>
      <c r="GB618" s="9"/>
      <c r="GC618" s="9"/>
      <c r="GD618" s="9"/>
      <c r="GE618" s="9"/>
      <c r="GF618" s="9"/>
      <c r="GG618" s="9"/>
      <c r="GH618" s="9"/>
      <c r="GI618" s="9"/>
      <c r="GJ618" s="9"/>
      <c r="GK618" s="9"/>
      <c r="GL618" s="9"/>
      <c r="GM618" s="9"/>
      <c r="GN618" s="9"/>
      <c r="GO618" s="9"/>
      <c r="GP618" s="9"/>
      <c r="GQ618" s="9"/>
    </row>
    <row r="619" spans="2:199" ht="15"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  <c r="FH619" s="9"/>
      <c r="FI619" s="9"/>
      <c r="FJ619" s="9"/>
      <c r="FK619" s="9"/>
      <c r="FL619" s="9"/>
      <c r="FM619" s="9"/>
      <c r="FN619" s="9"/>
      <c r="FO619" s="9"/>
      <c r="FP619" s="9"/>
      <c r="FQ619" s="9"/>
      <c r="FR619" s="9"/>
      <c r="FS619" s="9"/>
      <c r="FT619" s="9"/>
      <c r="FU619" s="9"/>
      <c r="FV619" s="9"/>
      <c r="FW619" s="9"/>
      <c r="FX619" s="9"/>
      <c r="FY619" s="9"/>
      <c r="FZ619" s="9"/>
      <c r="GA619" s="9"/>
      <c r="GB619" s="9"/>
      <c r="GC619" s="9"/>
      <c r="GD619" s="9"/>
      <c r="GE619" s="9"/>
      <c r="GF619" s="9"/>
      <c r="GG619" s="9"/>
      <c r="GH619" s="9"/>
      <c r="GI619" s="9"/>
      <c r="GJ619" s="9"/>
      <c r="GK619" s="9"/>
      <c r="GL619" s="9"/>
      <c r="GM619" s="9"/>
      <c r="GN619" s="9"/>
      <c r="GO619" s="9"/>
      <c r="GP619" s="9"/>
      <c r="GQ619" s="9"/>
    </row>
    <row r="620" spans="2:199" ht="15"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  <c r="FH620" s="9"/>
      <c r="FI620" s="9"/>
      <c r="FJ620" s="9"/>
      <c r="FK620" s="9"/>
      <c r="FL620" s="9"/>
      <c r="FM620" s="9"/>
      <c r="FN620" s="9"/>
      <c r="FO620" s="9"/>
      <c r="FP620" s="9"/>
      <c r="FQ620" s="9"/>
      <c r="FR620" s="9"/>
      <c r="FS620" s="9"/>
      <c r="FT620" s="9"/>
      <c r="FU620" s="9"/>
      <c r="FV620" s="9"/>
      <c r="FW620" s="9"/>
      <c r="FX620" s="9"/>
      <c r="FY620" s="9"/>
      <c r="FZ620" s="9"/>
      <c r="GA620" s="9"/>
      <c r="GB620" s="9"/>
      <c r="GC620" s="9"/>
      <c r="GD620" s="9"/>
      <c r="GE620" s="9"/>
      <c r="GF620" s="9"/>
      <c r="GG620" s="9"/>
      <c r="GH620" s="9"/>
      <c r="GI620" s="9"/>
      <c r="GJ620" s="9"/>
      <c r="GK620" s="9"/>
      <c r="GL620" s="9"/>
      <c r="GM620" s="9"/>
      <c r="GN620" s="9"/>
      <c r="GO620" s="9"/>
      <c r="GP620" s="9"/>
      <c r="GQ620" s="9"/>
    </row>
    <row r="621" spans="2:199" ht="15"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  <c r="ES621" s="9"/>
      <c r="ET621" s="9"/>
      <c r="EU621" s="9"/>
      <c r="EV621" s="9"/>
      <c r="EW621" s="9"/>
      <c r="EX621" s="9"/>
      <c r="EY621" s="9"/>
      <c r="EZ621" s="9"/>
      <c r="FA621" s="9"/>
      <c r="FB621" s="9"/>
      <c r="FC621" s="9"/>
      <c r="FD621" s="9"/>
      <c r="FE621" s="9"/>
      <c r="FF621" s="9"/>
      <c r="FG621" s="9"/>
      <c r="FH621" s="9"/>
      <c r="FI621" s="9"/>
      <c r="FJ621" s="9"/>
      <c r="FK621" s="9"/>
      <c r="FL621" s="9"/>
      <c r="FM621" s="9"/>
      <c r="FN621" s="9"/>
      <c r="FO621" s="9"/>
      <c r="FP621" s="9"/>
      <c r="FQ621" s="9"/>
      <c r="FR621" s="9"/>
      <c r="FS621" s="9"/>
      <c r="FT621" s="9"/>
      <c r="FU621" s="9"/>
      <c r="FV621" s="9"/>
      <c r="FW621" s="9"/>
      <c r="FX621" s="9"/>
      <c r="FY621" s="9"/>
      <c r="FZ621" s="9"/>
      <c r="GA621" s="9"/>
      <c r="GB621" s="9"/>
      <c r="GC621" s="9"/>
      <c r="GD621" s="9"/>
      <c r="GE621" s="9"/>
      <c r="GF621" s="9"/>
      <c r="GG621" s="9"/>
      <c r="GH621" s="9"/>
      <c r="GI621" s="9"/>
      <c r="GJ621" s="9"/>
      <c r="GK621" s="9"/>
      <c r="GL621" s="9"/>
      <c r="GM621" s="9"/>
      <c r="GN621" s="9"/>
      <c r="GO621" s="9"/>
      <c r="GP621" s="9"/>
      <c r="GQ621" s="9"/>
    </row>
    <row r="622" spans="2:199" ht="15"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  <c r="ES622" s="9"/>
      <c r="ET622" s="9"/>
      <c r="EU622" s="9"/>
      <c r="EV622" s="9"/>
      <c r="EW622" s="9"/>
      <c r="EX622" s="9"/>
      <c r="EY622" s="9"/>
      <c r="EZ622" s="9"/>
      <c r="FA622" s="9"/>
      <c r="FB622" s="9"/>
      <c r="FC622" s="9"/>
      <c r="FD622" s="9"/>
      <c r="FE622" s="9"/>
      <c r="FF622" s="9"/>
      <c r="FG622" s="9"/>
      <c r="FH622" s="9"/>
      <c r="FI622" s="9"/>
      <c r="FJ622" s="9"/>
      <c r="FK622" s="9"/>
      <c r="FL622" s="9"/>
      <c r="FM622" s="9"/>
      <c r="FN622" s="9"/>
      <c r="FO622" s="9"/>
      <c r="FP622" s="9"/>
      <c r="FQ622" s="9"/>
      <c r="FR622" s="9"/>
      <c r="FS622" s="9"/>
      <c r="FT622" s="9"/>
      <c r="FU622" s="9"/>
      <c r="FV622" s="9"/>
      <c r="FW622" s="9"/>
      <c r="FX622" s="9"/>
      <c r="FY622" s="9"/>
      <c r="FZ622" s="9"/>
      <c r="GA622" s="9"/>
      <c r="GB622" s="9"/>
      <c r="GC622" s="9"/>
      <c r="GD622" s="9"/>
      <c r="GE622" s="9"/>
      <c r="GF622" s="9"/>
      <c r="GG622" s="9"/>
      <c r="GH622" s="9"/>
      <c r="GI622" s="9"/>
      <c r="GJ622" s="9"/>
      <c r="GK622" s="9"/>
      <c r="GL622" s="9"/>
      <c r="GM622" s="9"/>
      <c r="GN622" s="9"/>
      <c r="GO622" s="9"/>
      <c r="GP622" s="9"/>
      <c r="GQ622" s="9"/>
    </row>
    <row r="623" spans="2:199" ht="15"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  <c r="FI623" s="9"/>
      <c r="FJ623" s="9"/>
      <c r="FK623" s="9"/>
      <c r="FL623" s="9"/>
      <c r="FM623" s="9"/>
      <c r="FN623" s="9"/>
      <c r="FO623" s="9"/>
      <c r="FP623" s="9"/>
      <c r="FQ623" s="9"/>
      <c r="FR623" s="9"/>
      <c r="FS623" s="9"/>
      <c r="FT623" s="9"/>
      <c r="FU623" s="9"/>
      <c r="FV623" s="9"/>
      <c r="FW623" s="9"/>
      <c r="FX623" s="9"/>
      <c r="FY623" s="9"/>
      <c r="FZ623" s="9"/>
      <c r="GA623" s="9"/>
      <c r="GB623" s="9"/>
      <c r="GC623" s="9"/>
      <c r="GD623" s="9"/>
      <c r="GE623" s="9"/>
      <c r="GF623" s="9"/>
      <c r="GG623" s="9"/>
      <c r="GH623" s="9"/>
      <c r="GI623" s="9"/>
      <c r="GJ623" s="9"/>
      <c r="GK623" s="9"/>
      <c r="GL623" s="9"/>
      <c r="GM623" s="9"/>
      <c r="GN623" s="9"/>
      <c r="GO623" s="9"/>
      <c r="GP623" s="9"/>
      <c r="GQ623" s="9"/>
    </row>
    <row r="624" spans="2:199" ht="15"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  <c r="FI624" s="9"/>
      <c r="FJ624" s="9"/>
      <c r="FK624" s="9"/>
      <c r="FL624" s="9"/>
      <c r="FM624" s="9"/>
      <c r="FN624" s="9"/>
      <c r="FO624" s="9"/>
      <c r="FP624" s="9"/>
      <c r="FQ624" s="9"/>
      <c r="FR624" s="9"/>
      <c r="FS624" s="9"/>
      <c r="FT624" s="9"/>
      <c r="FU624" s="9"/>
      <c r="FV624" s="9"/>
      <c r="FW624" s="9"/>
      <c r="FX624" s="9"/>
      <c r="FY624" s="9"/>
      <c r="FZ624" s="9"/>
      <c r="GA624" s="9"/>
      <c r="GB624" s="9"/>
      <c r="GC624" s="9"/>
      <c r="GD624" s="9"/>
      <c r="GE624" s="9"/>
      <c r="GF624" s="9"/>
      <c r="GG624" s="9"/>
      <c r="GH624" s="9"/>
      <c r="GI624" s="9"/>
      <c r="GJ624" s="9"/>
      <c r="GK624" s="9"/>
      <c r="GL624" s="9"/>
      <c r="GM624" s="9"/>
      <c r="GN624" s="9"/>
      <c r="GO624" s="9"/>
      <c r="GP624" s="9"/>
      <c r="GQ624" s="9"/>
    </row>
    <row r="625" spans="2:199" ht="15"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  <c r="FI625" s="9"/>
      <c r="FJ625" s="9"/>
      <c r="FK625" s="9"/>
      <c r="FL625" s="9"/>
      <c r="FM625" s="9"/>
      <c r="FN625" s="9"/>
      <c r="FO625" s="9"/>
      <c r="FP625" s="9"/>
      <c r="FQ625" s="9"/>
      <c r="FR625" s="9"/>
      <c r="FS625" s="9"/>
      <c r="FT625" s="9"/>
      <c r="FU625" s="9"/>
      <c r="FV625" s="9"/>
      <c r="FW625" s="9"/>
      <c r="FX625" s="9"/>
      <c r="FY625" s="9"/>
      <c r="FZ625" s="9"/>
      <c r="GA625" s="9"/>
      <c r="GB625" s="9"/>
      <c r="GC625" s="9"/>
      <c r="GD625" s="9"/>
      <c r="GE625" s="9"/>
      <c r="GF625" s="9"/>
      <c r="GG625" s="9"/>
      <c r="GH625" s="9"/>
      <c r="GI625" s="9"/>
      <c r="GJ625" s="9"/>
      <c r="GK625" s="9"/>
      <c r="GL625" s="9"/>
      <c r="GM625" s="9"/>
      <c r="GN625" s="9"/>
      <c r="GO625" s="9"/>
      <c r="GP625" s="9"/>
      <c r="GQ625" s="9"/>
    </row>
    <row r="626" spans="2:199" ht="15"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  <c r="FI626" s="9"/>
      <c r="FJ626" s="9"/>
      <c r="FK626" s="9"/>
      <c r="FL626" s="9"/>
      <c r="FM626" s="9"/>
      <c r="FN626" s="9"/>
      <c r="FO626" s="9"/>
      <c r="FP626" s="9"/>
      <c r="FQ626" s="9"/>
      <c r="FR626" s="9"/>
      <c r="FS626" s="9"/>
      <c r="FT626" s="9"/>
      <c r="FU626" s="9"/>
      <c r="FV626" s="9"/>
      <c r="FW626" s="9"/>
      <c r="FX626" s="9"/>
      <c r="FY626" s="9"/>
      <c r="FZ626" s="9"/>
      <c r="GA626" s="9"/>
      <c r="GB626" s="9"/>
      <c r="GC626" s="9"/>
      <c r="GD626" s="9"/>
      <c r="GE626" s="9"/>
      <c r="GF626" s="9"/>
      <c r="GG626" s="9"/>
      <c r="GH626" s="9"/>
      <c r="GI626" s="9"/>
      <c r="GJ626" s="9"/>
      <c r="GK626" s="9"/>
      <c r="GL626" s="9"/>
      <c r="GM626" s="9"/>
      <c r="GN626" s="9"/>
      <c r="GO626" s="9"/>
      <c r="GP626" s="9"/>
      <c r="GQ626" s="9"/>
    </row>
    <row r="627" spans="2:199" ht="15"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  <c r="FI627" s="9"/>
      <c r="FJ627" s="9"/>
      <c r="FK627" s="9"/>
      <c r="FL627" s="9"/>
      <c r="FM627" s="9"/>
      <c r="FN627" s="9"/>
      <c r="FO627" s="9"/>
      <c r="FP627" s="9"/>
      <c r="FQ627" s="9"/>
      <c r="FR627" s="9"/>
      <c r="FS627" s="9"/>
      <c r="FT627" s="9"/>
      <c r="FU627" s="9"/>
      <c r="FV627" s="9"/>
      <c r="FW627" s="9"/>
      <c r="FX627" s="9"/>
      <c r="FY627" s="9"/>
      <c r="FZ627" s="9"/>
      <c r="GA627" s="9"/>
      <c r="GB627" s="9"/>
      <c r="GC627" s="9"/>
      <c r="GD627" s="9"/>
      <c r="GE627" s="9"/>
      <c r="GF627" s="9"/>
      <c r="GG627" s="9"/>
      <c r="GH627" s="9"/>
      <c r="GI627" s="9"/>
      <c r="GJ627" s="9"/>
      <c r="GK627" s="9"/>
      <c r="GL627" s="9"/>
      <c r="GM627" s="9"/>
      <c r="GN627" s="9"/>
      <c r="GO627" s="9"/>
      <c r="GP627" s="9"/>
      <c r="GQ627" s="9"/>
    </row>
    <row r="628" spans="2:199" ht="15"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  <c r="FI628" s="9"/>
      <c r="FJ628" s="9"/>
      <c r="FK628" s="9"/>
      <c r="FL628" s="9"/>
      <c r="FM628" s="9"/>
      <c r="FN628" s="9"/>
      <c r="FO628" s="9"/>
      <c r="FP628" s="9"/>
      <c r="FQ628" s="9"/>
      <c r="FR628" s="9"/>
      <c r="FS628" s="9"/>
      <c r="FT628" s="9"/>
      <c r="FU628" s="9"/>
      <c r="FV628" s="9"/>
      <c r="FW628" s="9"/>
      <c r="FX628" s="9"/>
      <c r="FY628" s="9"/>
      <c r="FZ628" s="9"/>
      <c r="GA628" s="9"/>
      <c r="GB628" s="9"/>
      <c r="GC628" s="9"/>
      <c r="GD628" s="9"/>
      <c r="GE628" s="9"/>
      <c r="GF628" s="9"/>
      <c r="GG628" s="9"/>
      <c r="GH628" s="9"/>
      <c r="GI628" s="9"/>
      <c r="GJ628" s="9"/>
      <c r="GK628" s="9"/>
      <c r="GL628" s="9"/>
      <c r="GM628" s="9"/>
      <c r="GN628" s="9"/>
      <c r="GO628" s="9"/>
      <c r="GP628" s="9"/>
      <c r="GQ628" s="9"/>
    </row>
    <row r="629" spans="2:199" ht="15"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  <c r="FI629" s="9"/>
      <c r="FJ629" s="9"/>
      <c r="FK629" s="9"/>
      <c r="FL629" s="9"/>
      <c r="FM629" s="9"/>
      <c r="FN629" s="9"/>
      <c r="FO629" s="9"/>
      <c r="FP629" s="9"/>
      <c r="FQ629" s="9"/>
      <c r="FR629" s="9"/>
      <c r="FS629" s="9"/>
      <c r="FT629" s="9"/>
      <c r="FU629" s="9"/>
      <c r="FV629" s="9"/>
      <c r="FW629" s="9"/>
      <c r="FX629" s="9"/>
      <c r="FY629" s="9"/>
      <c r="FZ629" s="9"/>
      <c r="GA629" s="9"/>
      <c r="GB629" s="9"/>
      <c r="GC629" s="9"/>
      <c r="GD629" s="9"/>
      <c r="GE629" s="9"/>
      <c r="GF629" s="9"/>
      <c r="GG629" s="9"/>
      <c r="GH629" s="9"/>
      <c r="GI629" s="9"/>
      <c r="GJ629" s="9"/>
      <c r="GK629" s="9"/>
      <c r="GL629" s="9"/>
      <c r="GM629" s="9"/>
      <c r="GN629" s="9"/>
      <c r="GO629" s="9"/>
      <c r="GP629" s="9"/>
      <c r="GQ629" s="9"/>
    </row>
    <row r="630" spans="2:199" ht="15"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  <c r="FJ630" s="9"/>
      <c r="FK630" s="9"/>
      <c r="FL630" s="9"/>
      <c r="FM630" s="9"/>
      <c r="FN630" s="9"/>
      <c r="FO630" s="9"/>
      <c r="FP630" s="9"/>
      <c r="FQ630" s="9"/>
      <c r="FR630" s="9"/>
      <c r="FS630" s="9"/>
      <c r="FT630" s="9"/>
      <c r="FU630" s="9"/>
      <c r="FV630" s="9"/>
      <c r="FW630" s="9"/>
      <c r="FX630" s="9"/>
      <c r="FY630" s="9"/>
      <c r="FZ630" s="9"/>
      <c r="GA630" s="9"/>
      <c r="GB630" s="9"/>
      <c r="GC630" s="9"/>
      <c r="GD630" s="9"/>
      <c r="GE630" s="9"/>
      <c r="GF630" s="9"/>
      <c r="GG630" s="9"/>
      <c r="GH630" s="9"/>
      <c r="GI630" s="9"/>
      <c r="GJ630" s="9"/>
      <c r="GK630" s="9"/>
      <c r="GL630" s="9"/>
      <c r="GM630" s="9"/>
      <c r="GN630" s="9"/>
      <c r="GO630" s="9"/>
      <c r="GP630" s="9"/>
      <c r="GQ630" s="9"/>
    </row>
    <row r="631" spans="2:199" ht="15"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  <c r="FI631" s="9"/>
      <c r="FJ631" s="9"/>
      <c r="FK631" s="9"/>
      <c r="FL631" s="9"/>
      <c r="FM631" s="9"/>
      <c r="FN631" s="9"/>
      <c r="FO631" s="9"/>
      <c r="FP631" s="9"/>
      <c r="FQ631" s="9"/>
      <c r="FR631" s="9"/>
      <c r="FS631" s="9"/>
      <c r="FT631" s="9"/>
      <c r="FU631" s="9"/>
      <c r="FV631" s="9"/>
      <c r="FW631" s="9"/>
      <c r="FX631" s="9"/>
      <c r="FY631" s="9"/>
      <c r="FZ631" s="9"/>
      <c r="GA631" s="9"/>
      <c r="GB631" s="9"/>
      <c r="GC631" s="9"/>
      <c r="GD631" s="9"/>
      <c r="GE631" s="9"/>
      <c r="GF631" s="9"/>
      <c r="GG631" s="9"/>
      <c r="GH631" s="9"/>
      <c r="GI631" s="9"/>
      <c r="GJ631" s="9"/>
      <c r="GK631" s="9"/>
      <c r="GL631" s="9"/>
      <c r="GM631" s="9"/>
      <c r="GN631" s="9"/>
      <c r="GO631" s="9"/>
      <c r="GP631" s="9"/>
      <c r="GQ631" s="9"/>
    </row>
    <row r="632" spans="2:199" ht="15"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  <c r="FI632" s="9"/>
      <c r="FJ632" s="9"/>
      <c r="FK632" s="9"/>
      <c r="FL632" s="9"/>
      <c r="FM632" s="9"/>
      <c r="FN632" s="9"/>
      <c r="FO632" s="9"/>
      <c r="FP632" s="9"/>
      <c r="FQ632" s="9"/>
      <c r="FR632" s="9"/>
      <c r="FS632" s="9"/>
      <c r="FT632" s="9"/>
      <c r="FU632" s="9"/>
      <c r="FV632" s="9"/>
      <c r="FW632" s="9"/>
      <c r="FX632" s="9"/>
      <c r="FY632" s="9"/>
      <c r="FZ632" s="9"/>
      <c r="GA632" s="9"/>
      <c r="GB632" s="9"/>
      <c r="GC632" s="9"/>
      <c r="GD632" s="9"/>
      <c r="GE632" s="9"/>
      <c r="GF632" s="9"/>
      <c r="GG632" s="9"/>
      <c r="GH632" s="9"/>
      <c r="GI632" s="9"/>
      <c r="GJ632" s="9"/>
      <c r="GK632" s="9"/>
      <c r="GL632" s="9"/>
      <c r="GM632" s="9"/>
      <c r="GN632" s="9"/>
      <c r="GO632" s="9"/>
      <c r="GP632" s="9"/>
      <c r="GQ632" s="9"/>
    </row>
    <row r="633" spans="2:199" ht="15"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  <c r="FJ633" s="9"/>
      <c r="FK633" s="9"/>
      <c r="FL633" s="9"/>
      <c r="FM633" s="9"/>
      <c r="FN633" s="9"/>
      <c r="FO633" s="9"/>
      <c r="FP633" s="9"/>
      <c r="FQ633" s="9"/>
      <c r="FR633" s="9"/>
      <c r="FS633" s="9"/>
      <c r="FT633" s="9"/>
      <c r="FU633" s="9"/>
      <c r="FV633" s="9"/>
      <c r="FW633" s="9"/>
      <c r="FX633" s="9"/>
      <c r="FY633" s="9"/>
      <c r="FZ633" s="9"/>
      <c r="GA633" s="9"/>
      <c r="GB633" s="9"/>
      <c r="GC633" s="9"/>
      <c r="GD633" s="9"/>
      <c r="GE633" s="9"/>
      <c r="GF633" s="9"/>
      <c r="GG633" s="9"/>
      <c r="GH633" s="9"/>
      <c r="GI633" s="9"/>
      <c r="GJ633" s="9"/>
      <c r="GK633" s="9"/>
      <c r="GL633" s="9"/>
      <c r="GM633" s="9"/>
      <c r="GN633" s="9"/>
      <c r="GO633" s="9"/>
      <c r="GP633" s="9"/>
      <c r="GQ633" s="9"/>
    </row>
    <row r="634" spans="2:199" ht="15"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  <c r="FI634" s="9"/>
      <c r="FJ634" s="9"/>
      <c r="FK634" s="9"/>
      <c r="FL634" s="9"/>
      <c r="FM634" s="9"/>
      <c r="FN634" s="9"/>
      <c r="FO634" s="9"/>
      <c r="FP634" s="9"/>
      <c r="FQ634" s="9"/>
      <c r="FR634" s="9"/>
      <c r="FS634" s="9"/>
      <c r="FT634" s="9"/>
      <c r="FU634" s="9"/>
      <c r="FV634" s="9"/>
      <c r="FW634" s="9"/>
      <c r="FX634" s="9"/>
      <c r="FY634" s="9"/>
      <c r="FZ634" s="9"/>
      <c r="GA634" s="9"/>
      <c r="GB634" s="9"/>
      <c r="GC634" s="9"/>
      <c r="GD634" s="9"/>
      <c r="GE634" s="9"/>
      <c r="GF634" s="9"/>
      <c r="GG634" s="9"/>
      <c r="GH634" s="9"/>
      <c r="GI634" s="9"/>
      <c r="GJ634" s="9"/>
      <c r="GK634" s="9"/>
      <c r="GL634" s="9"/>
      <c r="GM634" s="9"/>
      <c r="GN634" s="9"/>
      <c r="GO634" s="9"/>
      <c r="GP634" s="9"/>
      <c r="GQ634" s="9"/>
    </row>
    <row r="635" spans="2:199" ht="15"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  <c r="FJ635" s="9"/>
      <c r="FK635" s="9"/>
      <c r="FL635" s="9"/>
      <c r="FM635" s="9"/>
      <c r="FN635" s="9"/>
      <c r="FO635" s="9"/>
      <c r="FP635" s="9"/>
      <c r="FQ635" s="9"/>
      <c r="FR635" s="9"/>
      <c r="FS635" s="9"/>
      <c r="FT635" s="9"/>
      <c r="FU635" s="9"/>
      <c r="FV635" s="9"/>
      <c r="FW635" s="9"/>
      <c r="FX635" s="9"/>
      <c r="FY635" s="9"/>
      <c r="FZ635" s="9"/>
      <c r="GA635" s="9"/>
      <c r="GB635" s="9"/>
      <c r="GC635" s="9"/>
      <c r="GD635" s="9"/>
      <c r="GE635" s="9"/>
      <c r="GF635" s="9"/>
      <c r="GG635" s="9"/>
      <c r="GH635" s="9"/>
      <c r="GI635" s="9"/>
      <c r="GJ635" s="9"/>
      <c r="GK635" s="9"/>
      <c r="GL635" s="9"/>
      <c r="GM635" s="9"/>
      <c r="GN635" s="9"/>
      <c r="GO635" s="9"/>
      <c r="GP635" s="9"/>
      <c r="GQ635" s="9"/>
    </row>
    <row r="636" spans="2:199" ht="15"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  <c r="FS636" s="9"/>
      <c r="FT636" s="9"/>
      <c r="FU636" s="9"/>
      <c r="FV636" s="9"/>
      <c r="FW636" s="9"/>
      <c r="FX636" s="9"/>
      <c r="FY636" s="9"/>
      <c r="FZ636" s="9"/>
      <c r="GA636" s="9"/>
      <c r="GB636" s="9"/>
      <c r="GC636" s="9"/>
      <c r="GD636" s="9"/>
      <c r="GE636" s="9"/>
      <c r="GF636" s="9"/>
      <c r="GG636" s="9"/>
      <c r="GH636" s="9"/>
      <c r="GI636" s="9"/>
      <c r="GJ636" s="9"/>
      <c r="GK636" s="9"/>
      <c r="GL636" s="9"/>
      <c r="GM636" s="9"/>
      <c r="GN636" s="9"/>
      <c r="GO636" s="9"/>
      <c r="GP636" s="9"/>
      <c r="GQ636" s="9"/>
    </row>
    <row r="637" spans="2:199" ht="15"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  <c r="FJ637" s="9"/>
      <c r="FK637" s="9"/>
      <c r="FL637" s="9"/>
      <c r="FM637" s="9"/>
      <c r="FN637" s="9"/>
      <c r="FO637" s="9"/>
      <c r="FP637" s="9"/>
      <c r="FQ637" s="9"/>
      <c r="FR637" s="9"/>
      <c r="FS637" s="9"/>
      <c r="FT637" s="9"/>
      <c r="FU637" s="9"/>
      <c r="FV637" s="9"/>
      <c r="FW637" s="9"/>
      <c r="FX637" s="9"/>
      <c r="FY637" s="9"/>
      <c r="FZ637" s="9"/>
      <c r="GA637" s="9"/>
      <c r="GB637" s="9"/>
      <c r="GC637" s="9"/>
      <c r="GD637" s="9"/>
      <c r="GE637" s="9"/>
      <c r="GF637" s="9"/>
      <c r="GG637" s="9"/>
      <c r="GH637" s="9"/>
      <c r="GI637" s="9"/>
      <c r="GJ637" s="9"/>
      <c r="GK637" s="9"/>
      <c r="GL637" s="9"/>
      <c r="GM637" s="9"/>
      <c r="GN637" s="9"/>
      <c r="GO637" s="9"/>
      <c r="GP637" s="9"/>
      <c r="GQ637" s="9"/>
    </row>
    <row r="638" spans="2:199" ht="15"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  <c r="ES638" s="9"/>
      <c r="ET638" s="9"/>
      <c r="EU638" s="9"/>
      <c r="EV638" s="9"/>
      <c r="EW638" s="9"/>
      <c r="EX638" s="9"/>
      <c r="EY638" s="9"/>
      <c r="EZ638" s="9"/>
      <c r="FA638" s="9"/>
      <c r="FB638" s="9"/>
      <c r="FC638" s="9"/>
      <c r="FD638" s="9"/>
      <c r="FE638" s="9"/>
      <c r="FF638" s="9"/>
      <c r="FG638" s="9"/>
      <c r="FH638" s="9"/>
      <c r="FI638" s="9"/>
      <c r="FJ638" s="9"/>
      <c r="FK638" s="9"/>
      <c r="FL638" s="9"/>
      <c r="FM638" s="9"/>
      <c r="FN638" s="9"/>
      <c r="FO638" s="9"/>
      <c r="FP638" s="9"/>
      <c r="FQ638" s="9"/>
      <c r="FR638" s="9"/>
      <c r="FS638" s="9"/>
      <c r="FT638" s="9"/>
      <c r="FU638" s="9"/>
      <c r="FV638" s="9"/>
      <c r="FW638" s="9"/>
      <c r="FX638" s="9"/>
      <c r="FY638" s="9"/>
      <c r="FZ638" s="9"/>
      <c r="GA638" s="9"/>
      <c r="GB638" s="9"/>
      <c r="GC638" s="9"/>
      <c r="GD638" s="9"/>
      <c r="GE638" s="9"/>
      <c r="GF638" s="9"/>
      <c r="GG638" s="9"/>
      <c r="GH638" s="9"/>
      <c r="GI638" s="9"/>
      <c r="GJ638" s="9"/>
      <c r="GK638" s="9"/>
      <c r="GL638" s="9"/>
      <c r="GM638" s="9"/>
      <c r="GN638" s="9"/>
      <c r="GO638" s="9"/>
      <c r="GP638" s="9"/>
      <c r="GQ638" s="9"/>
    </row>
    <row r="639" spans="2:199" ht="15"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  <c r="ES639" s="9"/>
      <c r="ET639" s="9"/>
      <c r="EU639" s="9"/>
      <c r="EV639" s="9"/>
      <c r="EW639" s="9"/>
      <c r="EX639" s="9"/>
      <c r="EY639" s="9"/>
      <c r="EZ639" s="9"/>
      <c r="FA639" s="9"/>
      <c r="FB639" s="9"/>
      <c r="FC639" s="9"/>
      <c r="FD639" s="9"/>
      <c r="FE639" s="9"/>
      <c r="FF639" s="9"/>
      <c r="FG639" s="9"/>
      <c r="FH639" s="9"/>
      <c r="FI639" s="9"/>
      <c r="FJ639" s="9"/>
      <c r="FK639" s="9"/>
      <c r="FL639" s="9"/>
      <c r="FM639" s="9"/>
      <c r="FN639" s="9"/>
      <c r="FO639" s="9"/>
      <c r="FP639" s="9"/>
      <c r="FQ639" s="9"/>
      <c r="FR639" s="9"/>
      <c r="FS639" s="9"/>
      <c r="FT639" s="9"/>
      <c r="FU639" s="9"/>
      <c r="FV639" s="9"/>
      <c r="FW639" s="9"/>
      <c r="FX639" s="9"/>
      <c r="FY639" s="9"/>
      <c r="FZ639" s="9"/>
      <c r="GA639" s="9"/>
      <c r="GB639" s="9"/>
      <c r="GC639" s="9"/>
      <c r="GD639" s="9"/>
      <c r="GE639" s="9"/>
      <c r="GF639" s="9"/>
      <c r="GG639" s="9"/>
      <c r="GH639" s="9"/>
      <c r="GI639" s="9"/>
      <c r="GJ639" s="9"/>
      <c r="GK639" s="9"/>
      <c r="GL639" s="9"/>
      <c r="GM639" s="9"/>
      <c r="GN639" s="9"/>
      <c r="GO639" s="9"/>
      <c r="GP639" s="9"/>
      <c r="GQ639" s="9"/>
    </row>
    <row r="640" spans="2:199" ht="15"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  <c r="ES640" s="9"/>
      <c r="ET640" s="9"/>
      <c r="EU640" s="9"/>
      <c r="EV640" s="9"/>
      <c r="EW640" s="9"/>
      <c r="EX640" s="9"/>
      <c r="EY640" s="9"/>
      <c r="EZ640" s="9"/>
      <c r="FA640" s="9"/>
      <c r="FB640" s="9"/>
      <c r="FC640" s="9"/>
      <c r="FD640" s="9"/>
      <c r="FE640" s="9"/>
      <c r="FF640" s="9"/>
      <c r="FG640" s="9"/>
      <c r="FH640" s="9"/>
      <c r="FI640" s="9"/>
      <c r="FJ640" s="9"/>
      <c r="FK640" s="9"/>
      <c r="FL640" s="9"/>
      <c r="FM640" s="9"/>
      <c r="FN640" s="9"/>
      <c r="FO640" s="9"/>
      <c r="FP640" s="9"/>
      <c r="FQ640" s="9"/>
      <c r="FR640" s="9"/>
      <c r="FS640" s="9"/>
      <c r="FT640" s="9"/>
      <c r="FU640" s="9"/>
      <c r="FV640" s="9"/>
      <c r="FW640" s="9"/>
      <c r="FX640" s="9"/>
      <c r="FY640" s="9"/>
      <c r="FZ640" s="9"/>
      <c r="GA640" s="9"/>
      <c r="GB640" s="9"/>
      <c r="GC640" s="9"/>
      <c r="GD640" s="9"/>
      <c r="GE640" s="9"/>
      <c r="GF640" s="9"/>
      <c r="GG640" s="9"/>
      <c r="GH640" s="9"/>
      <c r="GI640" s="9"/>
      <c r="GJ640" s="9"/>
      <c r="GK640" s="9"/>
      <c r="GL640" s="9"/>
      <c r="GM640" s="9"/>
      <c r="GN640" s="9"/>
      <c r="GO640" s="9"/>
      <c r="GP640" s="9"/>
      <c r="GQ640" s="9"/>
    </row>
    <row r="641" spans="2:199" ht="15"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  <c r="ES641" s="9"/>
      <c r="ET641" s="9"/>
      <c r="EU641" s="9"/>
      <c r="EV641" s="9"/>
      <c r="EW641" s="9"/>
      <c r="EX641" s="9"/>
      <c r="EY641" s="9"/>
      <c r="EZ641" s="9"/>
      <c r="FA641" s="9"/>
      <c r="FB641" s="9"/>
      <c r="FC641" s="9"/>
      <c r="FD641" s="9"/>
      <c r="FE641" s="9"/>
      <c r="FF641" s="9"/>
      <c r="FG641" s="9"/>
      <c r="FH641" s="9"/>
      <c r="FI641" s="9"/>
      <c r="FJ641" s="9"/>
      <c r="FK641" s="9"/>
      <c r="FL641" s="9"/>
      <c r="FM641" s="9"/>
      <c r="FN641" s="9"/>
      <c r="FO641" s="9"/>
      <c r="FP641" s="9"/>
      <c r="FQ641" s="9"/>
      <c r="FR641" s="9"/>
      <c r="FS641" s="9"/>
      <c r="FT641" s="9"/>
      <c r="FU641" s="9"/>
      <c r="FV641" s="9"/>
      <c r="FW641" s="9"/>
      <c r="FX641" s="9"/>
      <c r="FY641" s="9"/>
      <c r="FZ641" s="9"/>
      <c r="GA641" s="9"/>
      <c r="GB641" s="9"/>
      <c r="GC641" s="9"/>
      <c r="GD641" s="9"/>
      <c r="GE641" s="9"/>
      <c r="GF641" s="9"/>
      <c r="GG641" s="9"/>
      <c r="GH641" s="9"/>
      <c r="GI641" s="9"/>
      <c r="GJ641" s="9"/>
      <c r="GK641" s="9"/>
      <c r="GL641" s="9"/>
      <c r="GM641" s="9"/>
      <c r="GN641" s="9"/>
      <c r="GO641" s="9"/>
      <c r="GP641" s="9"/>
      <c r="GQ641" s="9"/>
    </row>
    <row r="642" spans="2:199" ht="15"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  <c r="FI642" s="9"/>
      <c r="FJ642" s="9"/>
      <c r="FK642" s="9"/>
      <c r="FL642" s="9"/>
      <c r="FM642" s="9"/>
      <c r="FN642" s="9"/>
      <c r="FO642" s="9"/>
      <c r="FP642" s="9"/>
      <c r="FQ642" s="9"/>
      <c r="FR642" s="9"/>
      <c r="FS642" s="9"/>
      <c r="FT642" s="9"/>
      <c r="FU642" s="9"/>
      <c r="FV642" s="9"/>
      <c r="FW642" s="9"/>
      <c r="FX642" s="9"/>
      <c r="FY642" s="9"/>
      <c r="FZ642" s="9"/>
      <c r="GA642" s="9"/>
      <c r="GB642" s="9"/>
      <c r="GC642" s="9"/>
      <c r="GD642" s="9"/>
      <c r="GE642" s="9"/>
      <c r="GF642" s="9"/>
      <c r="GG642" s="9"/>
      <c r="GH642" s="9"/>
      <c r="GI642" s="9"/>
      <c r="GJ642" s="9"/>
      <c r="GK642" s="9"/>
      <c r="GL642" s="9"/>
      <c r="GM642" s="9"/>
      <c r="GN642" s="9"/>
      <c r="GO642" s="9"/>
      <c r="GP642" s="9"/>
      <c r="GQ642" s="9"/>
    </row>
    <row r="643" spans="2:199" ht="15"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  <c r="FI643" s="9"/>
      <c r="FJ643" s="9"/>
      <c r="FK643" s="9"/>
      <c r="FL643" s="9"/>
      <c r="FM643" s="9"/>
      <c r="FN643" s="9"/>
      <c r="FO643" s="9"/>
      <c r="FP643" s="9"/>
      <c r="FQ643" s="9"/>
      <c r="FR643" s="9"/>
      <c r="FS643" s="9"/>
      <c r="FT643" s="9"/>
      <c r="FU643" s="9"/>
      <c r="FV643" s="9"/>
      <c r="FW643" s="9"/>
      <c r="FX643" s="9"/>
      <c r="FY643" s="9"/>
      <c r="FZ643" s="9"/>
      <c r="GA643" s="9"/>
      <c r="GB643" s="9"/>
      <c r="GC643" s="9"/>
      <c r="GD643" s="9"/>
      <c r="GE643" s="9"/>
      <c r="GF643" s="9"/>
      <c r="GG643" s="9"/>
      <c r="GH643" s="9"/>
      <c r="GI643" s="9"/>
      <c r="GJ643" s="9"/>
      <c r="GK643" s="9"/>
      <c r="GL643" s="9"/>
      <c r="GM643" s="9"/>
      <c r="GN643" s="9"/>
      <c r="GO643" s="9"/>
      <c r="GP643" s="9"/>
      <c r="GQ643" s="9"/>
    </row>
    <row r="644" spans="2:199" ht="15"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  <c r="FJ644" s="9"/>
      <c r="FK644" s="9"/>
      <c r="FL644" s="9"/>
      <c r="FM644" s="9"/>
      <c r="FN644" s="9"/>
      <c r="FO644" s="9"/>
      <c r="FP644" s="9"/>
      <c r="FQ644" s="9"/>
      <c r="FR644" s="9"/>
      <c r="FS644" s="9"/>
      <c r="FT644" s="9"/>
      <c r="FU644" s="9"/>
      <c r="FV644" s="9"/>
      <c r="FW644" s="9"/>
      <c r="FX644" s="9"/>
      <c r="FY644" s="9"/>
      <c r="FZ644" s="9"/>
      <c r="GA644" s="9"/>
      <c r="GB644" s="9"/>
      <c r="GC644" s="9"/>
      <c r="GD644" s="9"/>
      <c r="GE644" s="9"/>
      <c r="GF644" s="9"/>
      <c r="GG644" s="9"/>
      <c r="GH644" s="9"/>
      <c r="GI644" s="9"/>
      <c r="GJ644" s="9"/>
      <c r="GK644" s="9"/>
      <c r="GL644" s="9"/>
      <c r="GM644" s="9"/>
      <c r="GN644" s="9"/>
      <c r="GO644" s="9"/>
      <c r="GP644" s="9"/>
      <c r="GQ644" s="9"/>
    </row>
    <row r="645" spans="2:199" ht="15"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  <c r="GA645" s="9"/>
      <c r="GB645" s="9"/>
      <c r="GC645" s="9"/>
      <c r="GD645" s="9"/>
      <c r="GE645" s="9"/>
      <c r="GF645" s="9"/>
      <c r="GG645" s="9"/>
      <c r="GH645" s="9"/>
      <c r="GI645" s="9"/>
      <c r="GJ645" s="9"/>
      <c r="GK645" s="9"/>
      <c r="GL645" s="9"/>
      <c r="GM645" s="9"/>
      <c r="GN645" s="9"/>
      <c r="GO645" s="9"/>
      <c r="GP645" s="9"/>
      <c r="GQ645" s="9"/>
    </row>
    <row r="646" spans="2:199" ht="15"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  <c r="ES646" s="9"/>
      <c r="ET646" s="9"/>
      <c r="EU646" s="9"/>
      <c r="EV646" s="9"/>
      <c r="EW646" s="9"/>
      <c r="EX646" s="9"/>
      <c r="EY646" s="9"/>
      <c r="EZ646" s="9"/>
      <c r="FA646" s="9"/>
      <c r="FB646" s="9"/>
      <c r="FC646" s="9"/>
      <c r="FD646" s="9"/>
      <c r="FE646" s="9"/>
      <c r="FF646" s="9"/>
      <c r="FG646" s="9"/>
      <c r="FH646" s="9"/>
      <c r="FI646" s="9"/>
      <c r="FJ646" s="9"/>
      <c r="FK646" s="9"/>
      <c r="FL646" s="9"/>
      <c r="FM646" s="9"/>
      <c r="FN646" s="9"/>
      <c r="FO646" s="9"/>
      <c r="FP646" s="9"/>
      <c r="FQ646" s="9"/>
      <c r="FR646" s="9"/>
      <c r="FS646" s="9"/>
      <c r="FT646" s="9"/>
      <c r="FU646" s="9"/>
      <c r="FV646" s="9"/>
      <c r="FW646" s="9"/>
      <c r="FX646" s="9"/>
      <c r="FY646" s="9"/>
      <c r="FZ646" s="9"/>
      <c r="GA646" s="9"/>
      <c r="GB646" s="9"/>
      <c r="GC646" s="9"/>
      <c r="GD646" s="9"/>
      <c r="GE646" s="9"/>
      <c r="GF646" s="9"/>
      <c r="GG646" s="9"/>
      <c r="GH646" s="9"/>
      <c r="GI646" s="9"/>
      <c r="GJ646" s="9"/>
      <c r="GK646" s="9"/>
      <c r="GL646" s="9"/>
      <c r="GM646" s="9"/>
      <c r="GN646" s="9"/>
      <c r="GO646" s="9"/>
      <c r="GP646" s="9"/>
      <c r="GQ646" s="9"/>
    </row>
    <row r="647" spans="2:199" ht="15"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  <c r="FJ647" s="9"/>
      <c r="FK647" s="9"/>
      <c r="FL647" s="9"/>
      <c r="FM647" s="9"/>
      <c r="FN647" s="9"/>
      <c r="FO647" s="9"/>
      <c r="FP647" s="9"/>
      <c r="FQ647" s="9"/>
      <c r="FR647" s="9"/>
      <c r="FS647" s="9"/>
      <c r="FT647" s="9"/>
      <c r="FU647" s="9"/>
      <c r="FV647" s="9"/>
      <c r="FW647" s="9"/>
      <c r="FX647" s="9"/>
      <c r="FY647" s="9"/>
      <c r="FZ647" s="9"/>
      <c r="GA647" s="9"/>
      <c r="GB647" s="9"/>
      <c r="GC647" s="9"/>
      <c r="GD647" s="9"/>
      <c r="GE647" s="9"/>
      <c r="GF647" s="9"/>
      <c r="GG647" s="9"/>
      <c r="GH647" s="9"/>
      <c r="GI647" s="9"/>
      <c r="GJ647" s="9"/>
      <c r="GK647" s="9"/>
      <c r="GL647" s="9"/>
      <c r="GM647" s="9"/>
      <c r="GN647" s="9"/>
      <c r="GO647" s="9"/>
      <c r="GP647" s="9"/>
      <c r="GQ647" s="9"/>
    </row>
    <row r="648" spans="2:199" ht="15"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  <c r="ES648" s="9"/>
      <c r="ET648" s="9"/>
      <c r="EU648" s="9"/>
      <c r="EV648" s="9"/>
      <c r="EW648" s="9"/>
      <c r="EX648" s="9"/>
      <c r="EY648" s="9"/>
      <c r="EZ648" s="9"/>
      <c r="FA648" s="9"/>
      <c r="FB648" s="9"/>
      <c r="FC648" s="9"/>
      <c r="FD648" s="9"/>
      <c r="FE648" s="9"/>
      <c r="FF648" s="9"/>
      <c r="FG648" s="9"/>
      <c r="FH648" s="9"/>
      <c r="FI648" s="9"/>
      <c r="FJ648" s="9"/>
      <c r="FK648" s="9"/>
      <c r="FL648" s="9"/>
      <c r="FM648" s="9"/>
      <c r="FN648" s="9"/>
      <c r="FO648" s="9"/>
      <c r="FP648" s="9"/>
      <c r="FQ648" s="9"/>
      <c r="FR648" s="9"/>
      <c r="FS648" s="9"/>
      <c r="FT648" s="9"/>
      <c r="FU648" s="9"/>
      <c r="FV648" s="9"/>
      <c r="FW648" s="9"/>
      <c r="FX648" s="9"/>
      <c r="FY648" s="9"/>
      <c r="FZ648" s="9"/>
      <c r="GA648" s="9"/>
      <c r="GB648" s="9"/>
      <c r="GC648" s="9"/>
      <c r="GD648" s="9"/>
      <c r="GE648" s="9"/>
      <c r="GF648" s="9"/>
      <c r="GG648" s="9"/>
      <c r="GH648" s="9"/>
      <c r="GI648" s="9"/>
      <c r="GJ648" s="9"/>
      <c r="GK648" s="9"/>
      <c r="GL648" s="9"/>
      <c r="GM648" s="9"/>
      <c r="GN648" s="9"/>
      <c r="GO648" s="9"/>
      <c r="GP648" s="9"/>
      <c r="GQ648" s="9"/>
    </row>
    <row r="649" spans="2:199" ht="15"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  <c r="ES649" s="9"/>
      <c r="ET649" s="9"/>
      <c r="EU649" s="9"/>
      <c r="EV649" s="9"/>
      <c r="EW649" s="9"/>
      <c r="EX649" s="9"/>
      <c r="EY649" s="9"/>
      <c r="EZ649" s="9"/>
      <c r="FA649" s="9"/>
      <c r="FB649" s="9"/>
      <c r="FC649" s="9"/>
      <c r="FD649" s="9"/>
      <c r="FE649" s="9"/>
      <c r="FF649" s="9"/>
      <c r="FG649" s="9"/>
      <c r="FH649" s="9"/>
      <c r="FI649" s="9"/>
      <c r="FJ649" s="9"/>
      <c r="FK649" s="9"/>
      <c r="FL649" s="9"/>
      <c r="FM649" s="9"/>
      <c r="FN649" s="9"/>
      <c r="FO649" s="9"/>
      <c r="FP649" s="9"/>
      <c r="FQ649" s="9"/>
      <c r="FR649" s="9"/>
      <c r="FS649" s="9"/>
      <c r="FT649" s="9"/>
      <c r="FU649" s="9"/>
      <c r="FV649" s="9"/>
      <c r="FW649" s="9"/>
      <c r="FX649" s="9"/>
      <c r="FY649" s="9"/>
      <c r="FZ649" s="9"/>
      <c r="GA649" s="9"/>
      <c r="GB649" s="9"/>
      <c r="GC649" s="9"/>
      <c r="GD649" s="9"/>
      <c r="GE649" s="9"/>
      <c r="GF649" s="9"/>
      <c r="GG649" s="9"/>
      <c r="GH649" s="9"/>
      <c r="GI649" s="9"/>
      <c r="GJ649" s="9"/>
      <c r="GK649" s="9"/>
      <c r="GL649" s="9"/>
      <c r="GM649" s="9"/>
      <c r="GN649" s="9"/>
      <c r="GO649" s="9"/>
      <c r="GP649" s="9"/>
      <c r="GQ649" s="9"/>
    </row>
    <row r="650" spans="2:199" ht="15"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  <c r="ES650" s="9"/>
      <c r="ET650" s="9"/>
      <c r="EU650" s="9"/>
      <c r="EV650" s="9"/>
      <c r="EW650" s="9"/>
      <c r="EX650" s="9"/>
      <c r="EY650" s="9"/>
      <c r="EZ650" s="9"/>
      <c r="FA650" s="9"/>
      <c r="FB650" s="9"/>
      <c r="FC650" s="9"/>
      <c r="FD650" s="9"/>
      <c r="FE650" s="9"/>
      <c r="FF650" s="9"/>
      <c r="FG650" s="9"/>
      <c r="FH650" s="9"/>
      <c r="FI650" s="9"/>
      <c r="FJ650" s="9"/>
      <c r="FK650" s="9"/>
      <c r="FL650" s="9"/>
      <c r="FM650" s="9"/>
      <c r="FN650" s="9"/>
      <c r="FO650" s="9"/>
      <c r="FP650" s="9"/>
      <c r="FQ650" s="9"/>
      <c r="FR650" s="9"/>
      <c r="FS650" s="9"/>
      <c r="FT650" s="9"/>
      <c r="FU650" s="9"/>
      <c r="FV650" s="9"/>
      <c r="FW650" s="9"/>
      <c r="FX650" s="9"/>
      <c r="FY650" s="9"/>
      <c r="FZ650" s="9"/>
      <c r="GA650" s="9"/>
      <c r="GB650" s="9"/>
      <c r="GC650" s="9"/>
      <c r="GD650" s="9"/>
      <c r="GE650" s="9"/>
      <c r="GF650" s="9"/>
      <c r="GG650" s="9"/>
      <c r="GH650" s="9"/>
      <c r="GI650" s="9"/>
      <c r="GJ650" s="9"/>
      <c r="GK650" s="9"/>
      <c r="GL650" s="9"/>
      <c r="GM650" s="9"/>
      <c r="GN650" s="9"/>
      <c r="GO650" s="9"/>
      <c r="GP650" s="9"/>
      <c r="GQ650" s="9"/>
    </row>
    <row r="651" spans="2:199" ht="15"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  <c r="ES651" s="9"/>
      <c r="ET651" s="9"/>
      <c r="EU651" s="9"/>
      <c r="EV651" s="9"/>
      <c r="EW651" s="9"/>
      <c r="EX651" s="9"/>
      <c r="EY651" s="9"/>
      <c r="EZ651" s="9"/>
      <c r="FA651" s="9"/>
      <c r="FB651" s="9"/>
      <c r="FC651" s="9"/>
      <c r="FD651" s="9"/>
      <c r="FE651" s="9"/>
      <c r="FF651" s="9"/>
      <c r="FG651" s="9"/>
      <c r="FH651" s="9"/>
      <c r="FI651" s="9"/>
      <c r="FJ651" s="9"/>
      <c r="FK651" s="9"/>
      <c r="FL651" s="9"/>
      <c r="FM651" s="9"/>
      <c r="FN651" s="9"/>
      <c r="FO651" s="9"/>
      <c r="FP651" s="9"/>
      <c r="FQ651" s="9"/>
      <c r="FR651" s="9"/>
      <c r="FS651" s="9"/>
      <c r="FT651" s="9"/>
      <c r="FU651" s="9"/>
      <c r="FV651" s="9"/>
      <c r="FW651" s="9"/>
      <c r="FX651" s="9"/>
      <c r="FY651" s="9"/>
      <c r="FZ651" s="9"/>
      <c r="GA651" s="9"/>
      <c r="GB651" s="9"/>
      <c r="GC651" s="9"/>
      <c r="GD651" s="9"/>
      <c r="GE651" s="9"/>
      <c r="GF651" s="9"/>
      <c r="GG651" s="9"/>
      <c r="GH651" s="9"/>
      <c r="GI651" s="9"/>
      <c r="GJ651" s="9"/>
      <c r="GK651" s="9"/>
      <c r="GL651" s="9"/>
      <c r="GM651" s="9"/>
      <c r="GN651" s="9"/>
      <c r="GO651" s="9"/>
      <c r="GP651" s="9"/>
      <c r="GQ651" s="9"/>
    </row>
    <row r="652" spans="2:199" ht="15"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  <c r="ER652" s="9"/>
      <c r="ES652" s="9"/>
      <c r="ET652" s="9"/>
      <c r="EU652" s="9"/>
      <c r="EV652" s="9"/>
      <c r="EW652" s="9"/>
      <c r="EX652" s="9"/>
      <c r="EY652" s="9"/>
      <c r="EZ652" s="9"/>
      <c r="FA652" s="9"/>
      <c r="FB652" s="9"/>
      <c r="FC652" s="9"/>
      <c r="FD652" s="9"/>
      <c r="FE652" s="9"/>
      <c r="FF652" s="9"/>
      <c r="FG652" s="9"/>
      <c r="FH652" s="9"/>
      <c r="FI652" s="9"/>
      <c r="FJ652" s="9"/>
      <c r="FK652" s="9"/>
      <c r="FL652" s="9"/>
      <c r="FM652" s="9"/>
      <c r="FN652" s="9"/>
      <c r="FO652" s="9"/>
      <c r="FP652" s="9"/>
      <c r="FQ652" s="9"/>
      <c r="FR652" s="9"/>
      <c r="FS652" s="9"/>
      <c r="FT652" s="9"/>
      <c r="FU652" s="9"/>
      <c r="FV652" s="9"/>
      <c r="FW652" s="9"/>
      <c r="FX652" s="9"/>
      <c r="FY652" s="9"/>
      <c r="FZ652" s="9"/>
      <c r="GA652" s="9"/>
      <c r="GB652" s="9"/>
      <c r="GC652" s="9"/>
      <c r="GD652" s="9"/>
      <c r="GE652" s="9"/>
      <c r="GF652" s="9"/>
      <c r="GG652" s="9"/>
      <c r="GH652" s="9"/>
      <c r="GI652" s="9"/>
      <c r="GJ652" s="9"/>
      <c r="GK652" s="9"/>
      <c r="GL652" s="9"/>
      <c r="GM652" s="9"/>
      <c r="GN652" s="9"/>
      <c r="GO652" s="9"/>
      <c r="GP652" s="9"/>
      <c r="GQ652" s="9"/>
    </row>
    <row r="653" spans="2:199" ht="15"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  <c r="ER653" s="9"/>
      <c r="ES653" s="9"/>
      <c r="ET653" s="9"/>
      <c r="EU653" s="9"/>
      <c r="EV653" s="9"/>
      <c r="EW653" s="9"/>
      <c r="EX653" s="9"/>
      <c r="EY653" s="9"/>
      <c r="EZ653" s="9"/>
      <c r="FA653" s="9"/>
      <c r="FB653" s="9"/>
      <c r="FC653" s="9"/>
      <c r="FD653" s="9"/>
      <c r="FE653" s="9"/>
      <c r="FF653" s="9"/>
      <c r="FG653" s="9"/>
      <c r="FH653" s="9"/>
      <c r="FI653" s="9"/>
      <c r="FJ653" s="9"/>
      <c r="FK653" s="9"/>
      <c r="FL653" s="9"/>
      <c r="FM653" s="9"/>
      <c r="FN653" s="9"/>
      <c r="FO653" s="9"/>
      <c r="FP653" s="9"/>
      <c r="FQ653" s="9"/>
      <c r="FR653" s="9"/>
      <c r="FS653" s="9"/>
      <c r="FT653" s="9"/>
      <c r="FU653" s="9"/>
      <c r="FV653" s="9"/>
      <c r="FW653" s="9"/>
      <c r="FX653" s="9"/>
      <c r="FY653" s="9"/>
      <c r="FZ653" s="9"/>
      <c r="GA653" s="9"/>
      <c r="GB653" s="9"/>
      <c r="GC653" s="9"/>
      <c r="GD653" s="9"/>
      <c r="GE653" s="9"/>
      <c r="GF653" s="9"/>
      <c r="GG653" s="9"/>
      <c r="GH653" s="9"/>
      <c r="GI653" s="9"/>
      <c r="GJ653" s="9"/>
      <c r="GK653" s="9"/>
      <c r="GL653" s="9"/>
      <c r="GM653" s="9"/>
      <c r="GN653" s="9"/>
      <c r="GO653" s="9"/>
      <c r="GP653" s="9"/>
      <c r="GQ653" s="9"/>
    </row>
    <row r="654" spans="2:199" ht="15"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  <c r="ES654" s="9"/>
      <c r="ET654" s="9"/>
      <c r="EU654" s="9"/>
      <c r="EV654" s="9"/>
      <c r="EW654" s="9"/>
      <c r="EX654" s="9"/>
      <c r="EY654" s="9"/>
      <c r="EZ654" s="9"/>
      <c r="FA654" s="9"/>
      <c r="FB654" s="9"/>
      <c r="FC654" s="9"/>
      <c r="FD654" s="9"/>
      <c r="FE654" s="9"/>
      <c r="FF654" s="9"/>
      <c r="FG654" s="9"/>
      <c r="FH654" s="9"/>
      <c r="FI654" s="9"/>
      <c r="FJ654" s="9"/>
      <c r="FK654" s="9"/>
      <c r="FL654" s="9"/>
      <c r="FM654" s="9"/>
      <c r="FN654" s="9"/>
      <c r="FO654" s="9"/>
      <c r="FP654" s="9"/>
      <c r="FQ654" s="9"/>
      <c r="FR654" s="9"/>
      <c r="FS654" s="9"/>
      <c r="FT654" s="9"/>
      <c r="FU654" s="9"/>
      <c r="FV654" s="9"/>
      <c r="FW654" s="9"/>
      <c r="FX654" s="9"/>
      <c r="FY654" s="9"/>
      <c r="FZ654" s="9"/>
      <c r="GA654" s="9"/>
      <c r="GB654" s="9"/>
      <c r="GC654" s="9"/>
      <c r="GD654" s="9"/>
      <c r="GE654" s="9"/>
      <c r="GF654" s="9"/>
      <c r="GG654" s="9"/>
      <c r="GH654" s="9"/>
      <c r="GI654" s="9"/>
      <c r="GJ654" s="9"/>
      <c r="GK654" s="9"/>
      <c r="GL654" s="9"/>
      <c r="GM654" s="9"/>
      <c r="GN654" s="9"/>
      <c r="GO654" s="9"/>
      <c r="GP654" s="9"/>
      <c r="GQ654" s="9"/>
    </row>
    <row r="655" spans="2:199" ht="15"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  <c r="ER655" s="9"/>
      <c r="ES655" s="9"/>
      <c r="ET655" s="9"/>
      <c r="EU655" s="9"/>
      <c r="EV655" s="9"/>
      <c r="EW655" s="9"/>
      <c r="EX655" s="9"/>
      <c r="EY655" s="9"/>
      <c r="EZ655" s="9"/>
      <c r="FA655" s="9"/>
      <c r="FB655" s="9"/>
      <c r="FC655" s="9"/>
      <c r="FD655" s="9"/>
      <c r="FE655" s="9"/>
      <c r="FF655" s="9"/>
      <c r="FG655" s="9"/>
      <c r="FH655" s="9"/>
      <c r="FI655" s="9"/>
      <c r="FJ655" s="9"/>
      <c r="FK655" s="9"/>
      <c r="FL655" s="9"/>
      <c r="FM655" s="9"/>
      <c r="FN655" s="9"/>
      <c r="FO655" s="9"/>
      <c r="FP655" s="9"/>
      <c r="FQ655" s="9"/>
      <c r="FR655" s="9"/>
      <c r="FS655" s="9"/>
      <c r="FT655" s="9"/>
      <c r="FU655" s="9"/>
      <c r="FV655" s="9"/>
      <c r="FW655" s="9"/>
      <c r="FX655" s="9"/>
      <c r="FY655" s="9"/>
      <c r="FZ655" s="9"/>
      <c r="GA655" s="9"/>
      <c r="GB655" s="9"/>
      <c r="GC655" s="9"/>
      <c r="GD655" s="9"/>
      <c r="GE655" s="9"/>
      <c r="GF655" s="9"/>
      <c r="GG655" s="9"/>
      <c r="GH655" s="9"/>
      <c r="GI655" s="9"/>
      <c r="GJ655" s="9"/>
      <c r="GK655" s="9"/>
      <c r="GL655" s="9"/>
      <c r="GM655" s="9"/>
      <c r="GN655" s="9"/>
      <c r="GO655" s="9"/>
      <c r="GP655" s="9"/>
      <c r="GQ655" s="9"/>
    </row>
    <row r="656" spans="2:199" ht="15"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  <c r="ER656" s="9"/>
      <c r="ES656" s="9"/>
      <c r="ET656" s="9"/>
      <c r="EU656" s="9"/>
      <c r="EV656" s="9"/>
      <c r="EW656" s="9"/>
      <c r="EX656" s="9"/>
      <c r="EY656" s="9"/>
      <c r="EZ656" s="9"/>
      <c r="FA656" s="9"/>
      <c r="FB656" s="9"/>
      <c r="FC656" s="9"/>
      <c r="FD656" s="9"/>
      <c r="FE656" s="9"/>
      <c r="FF656" s="9"/>
      <c r="FG656" s="9"/>
      <c r="FH656" s="9"/>
      <c r="FI656" s="9"/>
      <c r="FJ656" s="9"/>
      <c r="FK656" s="9"/>
      <c r="FL656" s="9"/>
      <c r="FM656" s="9"/>
      <c r="FN656" s="9"/>
      <c r="FO656" s="9"/>
      <c r="FP656" s="9"/>
      <c r="FQ656" s="9"/>
      <c r="FR656" s="9"/>
      <c r="FS656" s="9"/>
      <c r="FT656" s="9"/>
      <c r="FU656" s="9"/>
      <c r="FV656" s="9"/>
      <c r="FW656" s="9"/>
      <c r="FX656" s="9"/>
      <c r="FY656" s="9"/>
      <c r="FZ656" s="9"/>
      <c r="GA656" s="9"/>
      <c r="GB656" s="9"/>
      <c r="GC656" s="9"/>
      <c r="GD656" s="9"/>
      <c r="GE656" s="9"/>
      <c r="GF656" s="9"/>
      <c r="GG656" s="9"/>
      <c r="GH656" s="9"/>
      <c r="GI656" s="9"/>
      <c r="GJ656" s="9"/>
      <c r="GK656" s="9"/>
      <c r="GL656" s="9"/>
      <c r="GM656" s="9"/>
      <c r="GN656" s="9"/>
      <c r="GO656" s="9"/>
      <c r="GP656" s="9"/>
      <c r="GQ656" s="9"/>
    </row>
    <row r="657" spans="2:199" ht="15"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  <c r="ES657" s="9"/>
      <c r="ET657" s="9"/>
      <c r="EU657" s="9"/>
      <c r="EV657" s="9"/>
      <c r="EW657" s="9"/>
      <c r="EX657" s="9"/>
      <c r="EY657" s="9"/>
      <c r="EZ657" s="9"/>
      <c r="FA657" s="9"/>
      <c r="FB657" s="9"/>
      <c r="FC657" s="9"/>
      <c r="FD657" s="9"/>
      <c r="FE657" s="9"/>
      <c r="FF657" s="9"/>
      <c r="FG657" s="9"/>
      <c r="FH657" s="9"/>
      <c r="FI657" s="9"/>
      <c r="FJ657" s="9"/>
      <c r="FK657" s="9"/>
      <c r="FL657" s="9"/>
      <c r="FM657" s="9"/>
      <c r="FN657" s="9"/>
      <c r="FO657" s="9"/>
      <c r="FP657" s="9"/>
      <c r="FQ657" s="9"/>
      <c r="FR657" s="9"/>
      <c r="FS657" s="9"/>
      <c r="FT657" s="9"/>
      <c r="FU657" s="9"/>
      <c r="FV657" s="9"/>
      <c r="FW657" s="9"/>
      <c r="FX657" s="9"/>
      <c r="FY657" s="9"/>
      <c r="FZ657" s="9"/>
      <c r="GA657" s="9"/>
      <c r="GB657" s="9"/>
      <c r="GC657" s="9"/>
      <c r="GD657" s="9"/>
      <c r="GE657" s="9"/>
      <c r="GF657" s="9"/>
      <c r="GG657" s="9"/>
      <c r="GH657" s="9"/>
      <c r="GI657" s="9"/>
      <c r="GJ657" s="9"/>
      <c r="GK657" s="9"/>
      <c r="GL657" s="9"/>
      <c r="GM657" s="9"/>
      <c r="GN657" s="9"/>
      <c r="GO657" s="9"/>
      <c r="GP657" s="9"/>
      <c r="GQ657" s="9"/>
    </row>
    <row r="658" spans="2:199" ht="15"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  <c r="ES658" s="9"/>
      <c r="ET658" s="9"/>
      <c r="EU658" s="9"/>
      <c r="EV658" s="9"/>
      <c r="EW658" s="9"/>
      <c r="EX658" s="9"/>
      <c r="EY658" s="9"/>
      <c r="EZ658" s="9"/>
      <c r="FA658" s="9"/>
      <c r="FB658" s="9"/>
      <c r="FC658" s="9"/>
      <c r="FD658" s="9"/>
      <c r="FE658" s="9"/>
      <c r="FF658" s="9"/>
      <c r="FG658" s="9"/>
      <c r="FH658" s="9"/>
      <c r="FI658" s="9"/>
      <c r="FJ658" s="9"/>
      <c r="FK658" s="9"/>
      <c r="FL658" s="9"/>
      <c r="FM658" s="9"/>
      <c r="FN658" s="9"/>
      <c r="FO658" s="9"/>
      <c r="FP658" s="9"/>
      <c r="FQ658" s="9"/>
      <c r="FR658" s="9"/>
      <c r="FS658" s="9"/>
      <c r="FT658" s="9"/>
      <c r="FU658" s="9"/>
      <c r="FV658" s="9"/>
      <c r="FW658" s="9"/>
      <c r="FX658" s="9"/>
      <c r="FY658" s="9"/>
      <c r="FZ658" s="9"/>
      <c r="GA658" s="9"/>
      <c r="GB658" s="9"/>
      <c r="GC658" s="9"/>
      <c r="GD658" s="9"/>
      <c r="GE658" s="9"/>
      <c r="GF658" s="9"/>
      <c r="GG658" s="9"/>
      <c r="GH658" s="9"/>
      <c r="GI658" s="9"/>
      <c r="GJ658" s="9"/>
      <c r="GK658" s="9"/>
      <c r="GL658" s="9"/>
      <c r="GM658" s="9"/>
      <c r="GN658" s="9"/>
      <c r="GO658" s="9"/>
      <c r="GP658" s="9"/>
      <c r="GQ658" s="9"/>
    </row>
    <row r="659" spans="2:199" ht="15"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  <c r="ES659" s="9"/>
      <c r="ET659" s="9"/>
      <c r="EU659" s="9"/>
      <c r="EV659" s="9"/>
      <c r="EW659" s="9"/>
      <c r="EX659" s="9"/>
      <c r="EY659" s="9"/>
      <c r="EZ659" s="9"/>
      <c r="FA659" s="9"/>
      <c r="FB659" s="9"/>
      <c r="FC659" s="9"/>
      <c r="FD659" s="9"/>
      <c r="FE659" s="9"/>
      <c r="FF659" s="9"/>
      <c r="FG659" s="9"/>
      <c r="FH659" s="9"/>
      <c r="FI659" s="9"/>
      <c r="FJ659" s="9"/>
      <c r="FK659" s="9"/>
      <c r="FL659" s="9"/>
      <c r="FM659" s="9"/>
      <c r="FN659" s="9"/>
      <c r="FO659" s="9"/>
      <c r="FP659" s="9"/>
      <c r="FQ659" s="9"/>
      <c r="FR659" s="9"/>
      <c r="FS659" s="9"/>
      <c r="FT659" s="9"/>
      <c r="FU659" s="9"/>
      <c r="FV659" s="9"/>
      <c r="FW659" s="9"/>
      <c r="FX659" s="9"/>
      <c r="FY659" s="9"/>
      <c r="FZ659" s="9"/>
      <c r="GA659" s="9"/>
      <c r="GB659" s="9"/>
      <c r="GC659" s="9"/>
      <c r="GD659" s="9"/>
      <c r="GE659" s="9"/>
      <c r="GF659" s="9"/>
      <c r="GG659" s="9"/>
      <c r="GH659" s="9"/>
      <c r="GI659" s="9"/>
      <c r="GJ659" s="9"/>
      <c r="GK659" s="9"/>
      <c r="GL659" s="9"/>
      <c r="GM659" s="9"/>
      <c r="GN659" s="9"/>
      <c r="GO659" s="9"/>
      <c r="GP659" s="9"/>
      <c r="GQ659" s="9"/>
    </row>
    <row r="660" spans="2:199" ht="15"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  <c r="ER660" s="9"/>
      <c r="ES660" s="9"/>
      <c r="ET660" s="9"/>
      <c r="EU660" s="9"/>
      <c r="EV660" s="9"/>
      <c r="EW660" s="9"/>
      <c r="EX660" s="9"/>
      <c r="EY660" s="9"/>
      <c r="EZ660" s="9"/>
      <c r="FA660" s="9"/>
      <c r="FB660" s="9"/>
      <c r="FC660" s="9"/>
      <c r="FD660" s="9"/>
      <c r="FE660" s="9"/>
      <c r="FF660" s="9"/>
      <c r="FG660" s="9"/>
      <c r="FH660" s="9"/>
      <c r="FI660" s="9"/>
      <c r="FJ660" s="9"/>
      <c r="FK660" s="9"/>
      <c r="FL660" s="9"/>
      <c r="FM660" s="9"/>
      <c r="FN660" s="9"/>
      <c r="FO660" s="9"/>
      <c r="FP660" s="9"/>
      <c r="FQ660" s="9"/>
      <c r="FR660" s="9"/>
      <c r="FS660" s="9"/>
      <c r="FT660" s="9"/>
      <c r="FU660" s="9"/>
      <c r="FV660" s="9"/>
      <c r="FW660" s="9"/>
      <c r="FX660" s="9"/>
      <c r="FY660" s="9"/>
      <c r="FZ660" s="9"/>
      <c r="GA660" s="9"/>
      <c r="GB660" s="9"/>
      <c r="GC660" s="9"/>
      <c r="GD660" s="9"/>
      <c r="GE660" s="9"/>
      <c r="GF660" s="9"/>
      <c r="GG660" s="9"/>
      <c r="GH660" s="9"/>
      <c r="GI660" s="9"/>
      <c r="GJ660" s="9"/>
      <c r="GK660" s="9"/>
      <c r="GL660" s="9"/>
      <c r="GM660" s="9"/>
      <c r="GN660" s="9"/>
      <c r="GO660" s="9"/>
      <c r="GP660" s="9"/>
      <c r="GQ660" s="9"/>
    </row>
    <row r="661" spans="2:199" ht="15"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  <c r="ER661" s="9"/>
      <c r="ES661" s="9"/>
      <c r="ET661" s="9"/>
      <c r="EU661" s="9"/>
      <c r="EV661" s="9"/>
      <c r="EW661" s="9"/>
      <c r="EX661" s="9"/>
      <c r="EY661" s="9"/>
      <c r="EZ661" s="9"/>
      <c r="FA661" s="9"/>
      <c r="FB661" s="9"/>
      <c r="FC661" s="9"/>
      <c r="FD661" s="9"/>
      <c r="FE661" s="9"/>
      <c r="FF661" s="9"/>
      <c r="FG661" s="9"/>
      <c r="FH661" s="9"/>
      <c r="FI661" s="9"/>
      <c r="FJ661" s="9"/>
      <c r="FK661" s="9"/>
      <c r="FL661" s="9"/>
      <c r="FM661" s="9"/>
      <c r="FN661" s="9"/>
      <c r="FO661" s="9"/>
      <c r="FP661" s="9"/>
      <c r="FQ661" s="9"/>
      <c r="FR661" s="9"/>
      <c r="FS661" s="9"/>
      <c r="FT661" s="9"/>
      <c r="FU661" s="9"/>
      <c r="FV661" s="9"/>
      <c r="FW661" s="9"/>
      <c r="FX661" s="9"/>
      <c r="FY661" s="9"/>
      <c r="FZ661" s="9"/>
      <c r="GA661" s="9"/>
      <c r="GB661" s="9"/>
      <c r="GC661" s="9"/>
      <c r="GD661" s="9"/>
      <c r="GE661" s="9"/>
      <c r="GF661" s="9"/>
      <c r="GG661" s="9"/>
      <c r="GH661" s="9"/>
      <c r="GI661" s="9"/>
      <c r="GJ661" s="9"/>
      <c r="GK661" s="9"/>
      <c r="GL661" s="9"/>
      <c r="GM661" s="9"/>
      <c r="GN661" s="9"/>
      <c r="GO661" s="9"/>
      <c r="GP661" s="9"/>
      <c r="GQ661" s="9"/>
    </row>
    <row r="662" spans="2:199" ht="15"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  <c r="ES662" s="9"/>
      <c r="ET662" s="9"/>
      <c r="EU662" s="9"/>
      <c r="EV662" s="9"/>
      <c r="EW662" s="9"/>
      <c r="EX662" s="9"/>
      <c r="EY662" s="9"/>
      <c r="EZ662" s="9"/>
      <c r="FA662" s="9"/>
      <c r="FB662" s="9"/>
      <c r="FC662" s="9"/>
      <c r="FD662" s="9"/>
      <c r="FE662" s="9"/>
      <c r="FF662" s="9"/>
      <c r="FG662" s="9"/>
      <c r="FH662" s="9"/>
      <c r="FI662" s="9"/>
      <c r="FJ662" s="9"/>
      <c r="FK662" s="9"/>
      <c r="FL662" s="9"/>
      <c r="FM662" s="9"/>
      <c r="FN662" s="9"/>
      <c r="FO662" s="9"/>
      <c r="FP662" s="9"/>
      <c r="FQ662" s="9"/>
      <c r="FR662" s="9"/>
      <c r="FS662" s="9"/>
      <c r="FT662" s="9"/>
      <c r="FU662" s="9"/>
      <c r="FV662" s="9"/>
      <c r="FW662" s="9"/>
      <c r="FX662" s="9"/>
      <c r="FY662" s="9"/>
      <c r="FZ662" s="9"/>
      <c r="GA662" s="9"/>
      <c r="GB662" s="9"/>
      <c r="GC662" s="9"/>
      <c r="GD662" s="9"/>
      <c r="GE662" s="9"/>
      <c r="GF662" s="9"/>
      <c r="GG662" s="9"/>
      <c r="GH662" s="9"/>
      <c r="GI662" s="9"/>
      <c r="GJ662" s="9"/>
      <c r="GK662" s="9"/>
      <c r="GL662" s="9"/>
      <c r="GM662" s="9"/>
      <c r="GN662" s="9"/>
      <c r="GO662" s="9"/>
      <c r="GP662" s="9"/>
      <c r="GQ662" s="9"/>
    </row>
    <row r="663" spans="2:199" ht="15"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  <c r="FB663" s="9"/>
      <c r="FC663" s="9"/>
      <c r="FD663" s="9"/>
      <c r="FE663" s="9"/>
      <c r="FF663" s="9"/>
      <c r="FG663" s="9"/>
      <c r="FH663" s="9"/>
      <c r="FI663" s="9"/>
      <c r="FJ663" s="9"/>
      <c r="FK663" s="9"/>
      <c r="FL663" s="9"/>
      <c r="FM663" s="9"/>
      <c r="FN663" s="9"/>
      <c r="FO663" s="9"/>
      <c r="FP663" s="9"/>
      <c r="FQ663" s="9"/>
      <c r="FR663" s="9"/>
      <c r="FS663" s="9"/>
      <c r="FT663" s="9"/>
      <c r="FU663" s="9"/>
      <c r="FV663" s="9"/>
      <c r="FW663" s="9"/>
      <c r="FX663" s="9"/>
      <c r="FY663" s="9"/>
      <c r="FZ663" s="9"/>
      <c r="GA663" s="9"/>
      <c r="GB663" s="9"/>
      <c r="GC663" s="9"/>
      <c r="GD663" s="9"/>
      <c r="GE663" s="9"/>
      <c r="GF663" s="9"/>
      <c r="GG663" s="9"/>
      <c r="GH663" s="9"/>
      <c r="GI663" s="9"/>
      <c r="GJ663" s="9"/>
      <c r="GK663" s="9"/>
      <c r="GL663" s="9"/>
      <c r="GM663" s="9"/>
      <c r="GN663" s="9"/>
      <c r="GO663" s="9"/>
      <c r="GP663" s="9"/>
      <c r="GQ663" s="9"/>
    </row>
    <row r="664" spans="2:199" ht="15"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  <c r="ER664" s="9"/>
      <c r="ES664" s="9"/>
      <c r="ET664" s="9"/>
      <c r="EU664" s="9"/>
      <c r="EV664" s="9"/>
      <c r="EW664" s="9"/>
      <c r="EX664" s="9"/>
      <c r="EY664" s="9"/>
      <c r="EZ664" s="9"/>
      <c r="FA664" s="9"/>
      <c r="FB664" s="9"/>
      <c r="FC664" s="9"/>
      <c r="FD664" s="9"/>
      <c r="FE664" s="9"/>
      <c r="FF664" s="9"/>
      <c r="FG664" s="9"/>
      <c r="FH664" s="9"/>
      <c r="FI664" s="9"/>
      <c r="FJ664" s="9"/>
      <c r="FK664" s="9"/>
      <c r="FL664" s="9"/>
      <c r="FM664" s="9"/>
      <c r="FN664" s="9"/>
      <c r="FO664" s="9"/>
      <c r="FP664" s="9"/>
      <c r="FQ664" s="9"/>
      <c r="FR664" s="9"/>
      <c r="FS664" s="9"/>
      <c r="FT664" s="9"/>
      <c r="FU664" s="9"/>
      <c r="FV664" s="9"/>
      <c r="FW664" s="9"/>
      <c r="FX664" s="9"/>
      <c r="FY664" s="9"/>
      <c r="FZ664" s="9"/>
      <c r="GA664" s="9"/>
      <c r="GB664" s="9"/>
      <c r="GC664" s="9"/>
      <c r="GD664" s="9"/>
      <c r="GE664" s="9"/>
      <c r="GF664" s="9"/>
      <c r="GG664" s="9"/>
      <c r="GH664" s="9"/>
      <c r="GI664" s="9"/>
      <c r="GJ664" s="9"/>
      <c r="GK664" s="9"/>
      <c r="GL664" s="9"/>
      <c r="GM664" s="9"/>
      <c r="GN664" s="9"/>
      <c r="GO664" s="9"/>
      <c r="GP664" s="9"/>
      <c r="GQ664" s="9"/>
    </row>
    <row r="665" spans="2:199" ht="15"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  <c r="ER665" s="9"/>
      <c r="ES665" s="9"/>
      <c r="ET665" s="9"/>
      <c r="EU665" s="9"/>
      <c r="EV665" s="9"/>
      <c r="EW665" s="9"/>
      <c r="EX665" s="9"/>
      <c r="EY665" s="9"/>
      <c r="EZ665" s="9"/>
      <c r="FA665" s="9"/>
      <c r="FB665" s="9"/>
      <c r="FC665" s="9"/>
      <c r="FD665" s="9"/>
      <c r="FE665" s="9"/>
      <c r="FF665" s="9"/>
      <c r="FG665" s="9"/>
      <c r="FH665" s="9"/>
      <c r="FI665" s="9"/>
      <c r="FJ665" s="9"/>
      <c r="FK665" s="9"/>
      <c r="FL665" s="9"/>
      <c r="FM665" s="9"/>
      <c r="FN665" s="9"/>
      <c r="FO665" s="9"/>
      <c r="FP665" s="9"/>
      <c r="FQ665" s="9"/>
      <c r="FR665" s="9"/>
      <c r="FS665" s="9"/>
      <c r="FT665" s="9"/>
      <c r="FU665" s="9"/>
      <c r="FV665" s="9"/>
      <c r="FW665" s="9"/>
      <c r="FX665" s="9"/>
      <c r="FY665" s="9"/>
      <c r="FZ665" s="9"/>
      <c r="GA665" s="9"/>
      <c r="GB665" s="9"/>
      <c r="GC665" s="9"/>
      <c r="GD665" s="9"/>
      <c r="GE665" s="9"/>
      <c r="GF665" s="9"/>
      <c r="GG665" s="9"/>
      <c r="GH665" s="9"/>
      <c r="GI665" s="9"/>
      <c r="GJ665" s="9"/>
      <c r="GK665" s="9"/>
      <c r="GL665" s="9"/>
      <c r="GM665" s="9"/>
      <c r="GN665" s="9"/>
      <c r="GO665" s="9"/>
      <c r="GP665" s="9"/>
      <c r="GQ665" s="9"/>
    </row>
    <row r="666" spans="2:199" ht="15"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  <c r="ES666" s="9"/>
      <c r="ET666" s="9"/>
      <c r="EU666" s="9"/>
      <c r="EV666" s="9"/>
      <c r="EW666" s="9"/>
      <c r="EX666" s="9"/>
      <c r="EY666" s="9"/>
      <c r="EZ666" s="9"/>
      <c r="FA666" s="9"/>
      <c r="FB666" s="9"/>
      <c r="FC666" s="9"/>
      <c r="FD666" s="9"/>
      <c r="FE666" s="9"/>
      <c r="FF666" s="9"/>
      <c r="FG666" s="9"/>
      <c r="FH666" s="9"/>
      <c r="FI666" s="9"/>
      <c r="FJ666" s="9"/>
      <c r="FK666" s="9"/>
      <c r="FL666" s="9"/>
      <c r="FM666" s="9"/>
      <c r="FN666" s="9"/>
      <c r="FO666" s="9"/>
      <c r="FP666" s="9"/>
      <c r="FQ666" s="9"/>
      <c r="FR666" s="9"/>
      <c r="FS666" s="9"/>
      <c r="FT666" s="9"/>
      <c r="FU666" s="9"/>
      <c r="FV666" s="9"/>
      <c r="FW666" s="9"/>
      <c r="FX666" s="9"/>
      <c r="FY666" s="9"/>
      <c r="FZ666" s="9"/>
      <c r="GA666" s="9"/>
      <c r="GB666" s="9"/>
      <c r="GC666" s="9"/>
      <c r="GD666" s="9"/>
      <c r="GE666" s="9"/>
      <c r="GF666" s="9"/>
      <c r="GG666" s="9"/>
      <c r="GH666" s="9"/>
      <c r="GI666" s="9"/>
      <c r="GJ666" s="9"/>
      <c r="GK666" s="9"/>
      <c r="GL666" s="9"/>
      <c r="GM666" s="9"/>
      <c r="GN666" s="9"/>
      <c r="GO666" s="9"/>
      <c r="GP666" s="9"/>
      <c r="GQ666" s="9"/>
    </row>
    <row r="667" spans="2:199" ht="15"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  <c r="ES667" s="9"/>
      <c r="ET667" s="9"/>
      <c r="EU667" s="9"/>
      <c r="EV667" s="9"/>
      <c r="EW667" s="9"/>
      <c r="EX667" s="9"/>
      <c r="EY667" s="9"/>
      <c r="EZ667" s="9"/>
      <c r="FA667" s="9"/>
      <c r="FB667" s="9"/>
      <c r="FC667" s="9"/>
      <c r="FD667" s="9"/>
      <c r="FE667" s="9"/>
      <c r="FF667" s="9"/>
      <c r="FG667" s="9"/>
      <c r="FH667" s="9"/>
      <c r="FI667" s="9"/>
      <c r="FJ667" s="9"/>
      <c r="FK667" s="9"/>
      <c r="FL667" s="9"/>
      <c r="FM667" s="9"/>
      <c r="FN667" s="9"/>
      <c r="FO667" s="9"/>
      <c r="FP667" s="9"/>
      <c r="FQ667" s="9"/>
      <c r="FR667" s="9"/>
      <c r="FS667" s="9"/>
      <c r="FT667" s="9"/>
      <c r="FU667" s="9"/>
      <c r="FV667" s="9"/>
      <c r="FW667" s="9"/>
      <c r="FX667" s="9"/>
      <c r="FY667" s="9"/>
      <c r="FZ667" s="9"/>
      <c r="GA667" s="9"/>
      <c r="GB667" s="9"/>
      <c r="GC667" s="9"/>
      <c r="GD667" s="9"/>
      <c r="GE667" s="9"/>
      <c r="GF667" s="9"/>
      <c r="GG667" s="9"/>
      <c r="GH667" s="9"/>
      <c r="GI667" s="9"/>
      <c r="GJ667" s="9"/>
      <c r="GK667" s="9"/>
      <c r="GL667" s="9"/>
      <c r="GM667" s="9"/>
      <c r="GN667" s="9"/>
      <c r="GO667" s="9"/>
      <c r="GP667" s="9"/>
      <c r="GQ667" s="9"/>
    </row>
    <row r="668" spans="2:199" ht="15"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  <c r="ER668" s="9"/>
      <c r="ES668" s="9"/>
      <c r="ET668" s="9"/>
      <c r="EU668" s="9"/>
      <c r="EV668" s="9"/>
      <c r="EW668" s="9"/>
      <c r="EX668" s="9"/>
      <c r="EY668" s="9"/>
      <c r="EZ668" s="9"/>
      <c r="FA668" s="9"/>
      <c r="FB668" s="9"/>
      <c r="FC668" s="9"/>
      <c r="FD668" s="9"/>
      <c r="FE668" s="9"/>
      <c r="FF668" s="9"/>
      <c r="FG668" s="9"/>
      <c r="FH668" s="9"/>
      <c r="FI668" s="9"/>
      <c r="FJ668" s="9"/>
      <c r="FK668" s="9"/>
      <c r="FL668" s="9"/>
      <c r="FM668" s="9"/>
      <c r="FN668" s="9"/>
      <c r="FO668" s="9"/>
      <c r="FP668" s="9"/>
      <c r="FQ668" s="9"/>
      <c r="FR668" s="9"/>
      <c r="FS668" s="9"/>
      <c r="FT668" s="9"/>
      <c r="FU668" s="9"/>
      <c r="FV668" s="9"/>
      <c r="FW668" s="9"/>
      <c r="FX668" s="9"/>
      <c r="FY668" s="9"/>
      <c r="FZ668" s="9"/>
      <c r="GA668" s="9"/>
      <c r="GB668" s="9"/>
      <c r="GC668" s="9"/>
      <c r="GD668" s="9"/>
      <c r="GE668" s="9"/>
      <c r="GF668" s="9"/>
      <c r="GG668" s="9"/>
      <c r="GH668" s="9"/>
      <c r="GI668" s="9"/>
      <c r="GJ668" s="9"/>
      <c r="GK668" s="9"/>
      <c r="GL668" s="9"/>
      <c r="GM668" s="9"/>
      <c r="GN668" s="9"/>
      <c r="GO668" s="9"/>
      <c r="GP668" s="9"/>
      <c r="GQ668" s="9"/>
    </row>
    <row r="669" spans="2:199" ht="15"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  <c r="ES669" s="9"/>
      <c r="ET669" s="9"/>
      <c r="EU669" s="9"/>
      <c r="EV669" s="9"/>
      <c r="EW669" s="9"/>
      <c r="EX669" s="9"/>
      <c r="EY669" s="9"/>
      <c r="EZ669" s="9"/>
      <c r="FA669" s="9"/>
      <c r="FB669" s="9"/>
      <c r="FC669" s="9"/>
      <c r="FD669" s="9"/>
      <c r="FE669" s="9"/>
      <c r="FF669" s="9"/>
      <c r="FG669" s="9"/>
      <c r="FH669" s="9"/>
      <c r="FI669" s="9"/>
      <c r="FJ669" s="9"/>
      <c r="FK669" s="9"/>
      <c r="FL669" s="9"/>
      <c r="FM669" s="9"/>
      <c r="FN669" s="9"/>
      <c r="FO669" s="9"/>
      <c r="FP669" s="9"/>
      <c r="FQ669" s="9"/>
      <c r="FR669" s="9"/>
      <c r="FS669" s="9"/>
      <c r="FT669" s="9"/>
      <c r="FU669" s="9"/>
      <c r="FV669" s="9"/>
      <c r="FW669" s="9"/>
      <c r="FX669" s="9"/>
      <c r="FY669" s="9"/>
      <c r="FZ669" s="9"/>
      <c r="GA669" s="9"/>
      <c r="GB669" s="9"/>
      <c r="GC669" s="9"/>
      <c r="GD669" s="9"/>
      <c r="GE669" s="9"/>
      <c r="GF669" s="9"/>
      <c r="GG669" s="9"/>
      <c r="GH669" s="9"/>
      <c r="GI669" s="9"/>
      <c r="GJ669" s="9"/>
      <c r="GK669" s="9"/>
      <c r="GL669" s="9"/>
      <c r="GM669" s="9"/>
      <c r="GN669" s="9"/>
      <c r="GO669" s="9"/>
      <c r="GP669" s="9"/>
      <c r="GQ669" s="9"/>
    </row>
    <row r="670" spans="2:199" ht="15"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  <c r="ER670" s="9"/>
      <c r="ES670" s="9"/>
      <c r="ET670" s="9"/>
      <c r="EU670" s="9"/>
      <c r="EV670" s="9"/>
      <c r="EW670" s="9"/>
      <c r="EX670" s="9"/>
      <c r="EY670" s="9"/>
      <c r="EZ670" s="9"/>
      <c r="FA670" s="9"/>
      <c r="FB670" s="9"/>
      <c r="FC670" s="9"/>
      <c r="FD670" s="9"/>
      <c r="FE670" s="9"/>
      <c r="FF670" s="9"/>
      <c r="FG670" s="9"/>
      <c r="FH670" s="9"/>
      <c r="FI670" s="9"/>
      <c r="FJ670" s="9"/>
      <c r="FK670" s="9"/>
      <c r="FL670" s="9"/>
      <c r="FM670" s="9"/>
      <c r="FN670" s="9"/>
      <c r="FO670" s="9"/>
      <c r="FP670" s="9"/>
      <c r="FQ670" s="9"/>
      <c r="FR670" s="9"/>
      <c r="FS670" s="9"/>
      <c r="FT670" s="9"/>
      <c r="FU670" s="9"/>
      <c r="FV670" s="9"/>
      <c r="FW670" s="9"/>
      <c r="FX670" s="9"/>
      <c r="FY670" s="9"/>
      <c r="FZ670" s="9"/>
      <c r="GA670" s="9"/>
      <c r="GB670" s="9"/>
      <c r="GC670" s="9"/>
      <c r="GD670" s="9"/>
      <c r="GE670" s="9"/>
      <c r="GF670" s="9"/>
      <c r="GG670" s="9"/>
      <c r="GH670" s="9"/>
      <c r="GI670" s="9"/>
      <c r="GJ670" s="9"/>
      <c r="GK670" s="9"/>
      <c r="GL670" s="9"/>
      <c r="GM670" s="9"/>
      <c r="GN670" s="9"/>
      <c r="GO670" s="9"/>
      <c r="GP670" s="9"/>
      <c r="GQ670" s="9"/>
    </row>
    <row r="671" spans="2:199" ht="15"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  <c r="ES671" s="9"/>
      <c r="ET671" s="9"/>
      <c r="EU671" s="9"/>
      <c r="EV671" s="9"/>
      <c r="EW671" s="9"/>
      <c r="EX671" s="9"/>
      <c r="EY671" s="9"/>
      <c r="EZ671" s="9"/>
      <c r="FA671" s="9"/>
      <c r="FB671" s="9"/>
      <c r="FC671" s="9"/>
      <c r="FD671" s="9"/>
      <c r="FE671" s="9"/>
      <c r="FF671" s="9"/>
      <c r="FG671" s="9"/>
      <c r="FH671" s="9"/>
      <c r="FI671" s="9"/>
      <c r="FJ671" s="9"/>
      <c r="FK671" s="9"/>
      <c r="FL671" s="9"/>
      <c r="FM671" s="9"/>
      <c r="FN671" s="9"/>
      <c r="FO671" s="9"/>
      <c r="FP671" s="9"/>
      <c r="FQ671" s="9"/>
      <c r="FR671" s="9"/>
      <c r="FS671" s="9"/>
      <c r="FT671" s="9"/>
      <c r="FU671" s="9"/>
      <c r="FV671" s="9"/>
      <c r="FW671" s="9"/>
      <c r="FX671" s="9"/>
      <c r="FY671" s="9"/>
      <c r="FZ671" s="9"/>
      <c r="GA671" s="9"/>
      <c r="GB671" s="9"/>
      <c r="GC671" s="9"/>
      <c r="GD671" s="9"/>
      <c r="GE671" s="9"/>
      <c r="GF671" s="9"/>
      <c r="GG671" s="9"/>
      <c r="GH671" s="9"/>
      <c r="GI671" s="9"/>
      <c r="GJ671" s="9"/>
      <c r="GK671" s="9"/>
      <c r="GL671" s="9"/>
      <c r="GM671" s="9"/>
      <c r="GN671" s="9"/>
      <c r="GO671" s="9"/>
      <c r="GP671" s="9"/>
      <c r="GQ671" s="9"/>
    </row>
    <row r="672" spans="2:199" ht="15"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  <c r="ER672" s="9"/>
      <c r="ES672" s="9"/>
      <c r="ET672" s="9"/>
      <c r="EU672" s="9"/>
      <c r="EV672" s="9"/>
      <c r="EW672" s="9"/>
      <c r="EX672" s="9"/>
      <c r="EY672" s="9"/>
      <c r="EZ672" s="9"/>
      <c r="FA672" s="9"/>
      <c r="FB672" s="9"/>
      <c r="FC672" s="9"/>
      <c r="FD672" s="9"/>
      <c r="FE672" s="9"/>
      <c r="FF672" s="9"/>
      <c r="FG672" s="9"/>
      <c r="FH672" s="9"/>
      <c r="FI672" s="9"/>
      <c r="FJ672" s="9"/>
      <c r="FK672" s="9"/>
      <c r="FL672" s="9"/>
      <c r="FM672" s="9"/>
      <c r="FN672" s="9"/>
      <c r="FO672" s="9"/>
      <c r="FP672" s="9"/>
      <c r="FQ672" s="9"/>
      <c r="FR672" s="9"/>
      <c r="FS672" s="9"/>
      <c r="FT672" s="9"/>
      <c r="FU672" s="9"/>
      <c r="FV672" s="9"/>
      <c r="FW672" s="9"/>
      <c r="FX672" s="9"/>
      <c r="FY672" s="9"/>
      <c r="FZ672" s="9"/>
      <c r="GA672" s="9"/>
      <c r="GB672" s="9"/>
      <c r="GC672" s="9"/>
      <c r="GD672" s="9"/>
      <c r="GE672" s="9"/>
      <c r="GF672" s="9"/>
      <c r="GG672" s="9"/>
      <c r="GH672" s="9"/>
      <c r="GI672" s="9"/>
      <c r="GJ672" s="9"/>
      <c r="GK672" s="9"/>
      <c r="GL672" s="9"/>
      <c r="GM672" s="9"/>
      <c r="GN672" s="9"/>
      <c r="GO672" s="9"/>
      <c r="GP672" s="9"/>
      <c r="GQ672" s="9"/>
    </row>
    <row r="673" spans="2:199" ht="15"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  <c r="ES673" s="9"/>
      <c r="ET673" s="9"/>
      <c r="EU673" s="9"/>
      <c r="EV673" s="9"/>
      <c r="EW673" s="9"/>
      <c r="EX673" s="9"/>
      <c r="EY673" s="9"/>
      <c r="EZ673" s="9"/>
      <c r="FA673" s="9"/>
      <c r="FB673" s="9"/>
      <c r="FC673" s="9"/>
      <c r="FD673" s="9"/>
      <c r="FE673" s="9"/>
      <c r="FF673" s="9"/>
      <c r="FG673" s="9"/>
      <c r="FH673" s="9"/>
      <c r="FI673" s="9"/>
      <c r="FJ673" s="9"/>
      <c r="FK673" s="9"/>
      <c r="FL673" s="9"/>
      <c r="FM673" s="9"/>
      <c r="FN673" s="9"/>
      <c r="FO673" s="9"/>
      <c r="FP673" s="9"/>
      <c r="FQ673" s="9"/>
      <c r="FR673" s="9"/>
      <c r="FS673" s="9"/>
      <c r="FT673" s="9"/>
      <c r="FU673" s="9"/>
      <c r="FV673" s="9"/>
      <c r="FW673" s="9"/>
      <c r="FX673" s="9"/>
      <c r="FY673" s="9"/>
      <c r="FZ673" s="9"/>
      <c r="GA673" s="9"/>
      <c r="GB673" s="9"/>
      <c r="GC673" s="9"/>
      <c r="GD673" s="9"/>
      <c r="GE673" s="9"/>
      <c r="GF673" s="9"/>
      <c r="GG673" s="9"/>
      <c r="GH673" s="9"/>
      <c r="GI673" s="9"/>
      <c r="GJ673" s="9"/>
      <c r="GK673" s="9"/>
      <c r="GL673" s="9"/>
      <c r="GM673" s="9"/>
      <c r="GN673" s="9"/>
      <c r="GO673" s="9"/>
      <c r="GP673" s="9"/>
      <c r="GQ673" s="9"/>
    </row>
    <row r="674" spans="2:199" ht="15"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  <c r="ES674" s="9"/>
      <c r="ET674" s="9"/>
      <c r="EU674" s="9"/>
      <c r="EV674" s="9"/>
      <c r="EW674" s="9"/>
      <c r="EX674" s="9"/>
      <c r="EY674" s="9"/>
      <c r="EZ674" s="9"/>
      <c r="FA674" s="9"/>
      <c r="FB674" s="9"/>
      <c r="FC674" s="9"/>
      <c r="FD674" s="9"/>
      <c r="FE674" s="9"/>
      <c r="FF674" s="9"/>
      <c r="FG674" s="9"/>
      <c r="FH674" s="9"/>
      <c r="FI674" s="9"/>
      <c r="FJ674" s="9"/>
      <c r="FK674" s="9"/>
      <c r="FL674" s="9"/>
      <c r="FM674" s="9"/>
      <c r="FN674" s="9"/>
      <c r="FO674" s="9"/>
      <c r="FP674" s="9"/>
      <c r="FQ674" s="9"/>
      <c r="FR674" s="9"/>
      <c r="FS674" s="9"/>
      <c r="FT674" s="9"/>
      <c r="FU674" s="9"/>
      <c r="FV674" s="9"/>
      <c r="FW674" s="9"/>
      <c r="FX674" s="9"/>
      <c r="FY674" s="9"/>
      <c r="FZ674" s="9"/>
      <c r="GA674" s="9"/>
      <c r="GB674" s="9"/>
      <c r="GC674" s="9"/>
      <c r="GD674" s="9"/>
      <c r="GE674" s="9"/>
      <c r="GF674" s="9"/>
      <c r="GG674" s="9"/>
      <c r="GH674" s="9"/>
      <c r="GI674" s="9"/>
      <c r="GJ674" s="9"/>
      <c r="GK674" s="9"/>
      <c r="GL674" s="9"/>
      <c r="GM674" s="9"/>
      <c r="GN674" s="9"/>
      <c r="GO674" s="9"/>
      <c r="GP674" s="9"/>
      <c r="GQ674" s="9"/>
    </row>
    <row r="675" spans="2:199" ht="15"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  <c r="ES675" s="9"/>
      <c r="ET675" s="9"/>
      <c r="EU675" s="9"/>
      <c r="EV675" s="9"/>
      <c r="EW675" s="9"/>
      <c r="EX675" s="9"/>
      <c r="EY675" s="9"/>
      <c r="EZ675" s="9"/>
      <c r="FA675" s="9"/>
      <c r="FB675" s="9"/>
      <c r="FC675" s="9"/>
      <c r="FD675" s="9"/>
      <c r="FE675" s="9"/>
      <c r="FF675" s="9"/>
      <c r="FG675" s="9"/>
      <c r="FH675" s="9"/>
      <c r="FI675" s="9"/>
      <c r="FJ675" s="9"/>
      <c r="FK675" s="9"/>
      <c r="FL675" s="9"/>
      <c r="FM675" s="9"/>
      <c r="FN675" s="9"/>
      <c r="FO675" s="9"/>
      <c r="FP675" s="9"/>
      <c r="FQ675" s="9"/>
      <c r="FR675" s="9"/>
      <c r="FS675" s="9"/>
      <c r="FT675" s="9"/>
      <c r="FU675" s="9"/>
      <c r="FV675" s="9"/>
      <c r="FW675" s="9"/>
      <c r="FX675" s="9"/>
      <c r="FY675" s="9"/>
      <c r="FZ675" s="9"/>
      <c r="GA675" s="9"/>
      <c r="GB675" s="9"/>
      <c r="GC675" s="9"/>
      <c r="GD675" s="9"/>
      <c r="GE675" s="9"/>
      <c r="GF675" s="9"/>
      <c r="GG675" s="9"/>
      <c r="GH675" s="9"/>
      <c r="GI675" s="9"/>
      <c r="GJ675" s="9"/>
      <c r="GK675" s="9"/>
      <c r="GL675" s="9"/>
      <c r="GM675" s="9"/>
      <c r="GN675" s="9"/>
      <c r="GO675" s="9"/>
      <c r="GP675" s="9"/>
      <c r="GQ675" s="9"/>
    </row>
    <row r="676" spans="2:199" ht="15"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  <c r="ER676" s="9"/>
      <c r="ES676" s="9"/>
      <c r="ET676" s="9"/>
      <c r="EU676" s="9"/>
      <c r="EV676" s="9"/>
      <c r="EW676" s="9"/>
      <c r="EX676" s="9"/>
      <c r="EY676" s="9"/>
      <c r="EZ676" s="9"/>
      <c r="FA676" s="9"/>
      <c r="FB676" s="9"/>
      <c r="FC676" s="9"/>
      <c r="FD676" s="9"/>
      <c r="FE676" s="9"/>
      <c r="FF676" s="9"/>
      <c r="FG676" s="9"/>
      <c r="FH676" s="9"/>
      <c r="FI676" s="9"/>
      <c r="FJ676" s="9"/>
      <c r="FK676" s="9"/>
      <c r="FL676" s="9"/>
      <c r="FM676" s="9"/>
      <c r="FN676" s="9"/>
      <c r="FO676" s="9"/>
      <c r="FP676" s="9"/>
      <c r="FQ676" s="9"/>
      <c r="FR676" s="9"/>
      <c r="FS676" s="9"/>
      <c r="FT676" s="9"/>
      <c r="FU676" s="9"/>
      <c r="FV676" s="9"/>
      <c r="FW676" s="9"/>
      <c r="FX676" s="9"/>
      <c r="FY676" s="9"/>
      <c r="FZ676" s="9"/>
      <c r="GA676" s="9"/>
      <c r="GB676" s="9"/>
      <c r="GC676" s="9"/>
      <c r="GD676" s="9"/>
      <c r="GE676" s="9"/>
      <c r="GF676" s="9"/>
      <c r="GG676" s="9"/>
      <c r="GH676" s="9"/>
      <c r="GI676" s="9"/>
      <c r="GJ676" s="9"/>
      <c r="GK676" s="9"/>
      <c r="GL676" s="9"/>
      <c r="GM676" s="9"/>
      <c r="GN676" s="9"/>
      <c r="GO676" s="9"/>
      <c r="GP676" s="9"/>
      <c r="GQ676" s="9"/>
    </row>
    <row r="677" spans="2:199" ht="15"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  <c r="ES677" s="9"/>
      <c r="ET677" s="9"/>
      <c r="EU677" s="9"/>
      <c r="EV677" s="9"/>
      <c r="EW677" s="9"/>
      <c r="EX677" s="9"/>
      <c r="EY677" s="9"/>
      <c r="EZ677" s="9"/>
      <c r="FA677" s="9"/>
      <c r="FB677" s="9"/>
      <c r="FC677" s="9"/>
      <c r="FD677" s="9"/>
      <c r="FE677" s="9"/>
      <c r="FF677" s="9"/>
      <c r="FG677" s="9"/>
      <c r="FH677" s="9"/>
      <c r="FI677" s="9"/>
      <c r="FJ677" s="9"/>
      <c r="FK677" s="9"/>
      <c r="FL677" s="9"/>
      <c r="FM677" s="9"/>
      <c r="FN677" s="9"/>
      <c r="FO677" s="9"/>
      <c r="FP677" s="9"/>
      <c r="FQ677" s="9"/>
      <c r="FR677" s="9"/>
      <c r="FS677" s="9"/>
      <c r="FT677" s="9"/>
      <c r="FU677" s="9"/>
      <c r="FV677" s="9"/>
      <c r="FW677" s="9"/>
      <c r="FX677" s="9"/>
      <c r="FY677" s="9"/>
      <c r="FZ677" s="9"/>
      <c r="GA677" s="9"/>
      <c r="GB677" s="9"/>
      <c r="GC677" s="9"/>
      <c r="GD677" s="9"/>
      <c r="GE677" s="9"/>
      <c r="GF677" s="9"/>
      <c r="GG677" s="9"/>
      <c r="GH677" s="9"/>
      <c r="GI677" s="9"/>
      <c r="GJ677" s="9"/>
      <c r="GK677" s="9"/>
      <c r="GL677" s="9"/>
      <c r="GM677" s="9"/>
      <c r="GN677" s="9"/>
      <c r="GO677" s="9"/>
      <c r="GP677" s="9"/>
      <c r="GQ677" s="9"/>
    </row>
    <row r="678" spans="2:199" ht="15"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  <c r="ES678" s="9"/>
      <c r="ET678" s="9"/>
      <c r="EU678" s="9"/>
      <c r="EV678" s="9"/>
      <c r="EW678" s="9"/>
      <c r="EX678" s="9"/>
      <c r="EY678" s="9"/>
      <c r="EZ678" s="9"/>
      <c r="FA678" s="9"/>
      <c r="FB678" s="9"/>
      <c r="FC678" s="9"/>
      <c r="FD678" s="9"/>
      <c r="FE678" s="9"/>
      <c r="FF678" s="9"/>
      <c r="FG678" s="9"/>
      <c r="FH678" s="9"/>
      <c r="FI678" s="9"/>
      <c r="FJ678" s="9"/>
      <c r="FK678" s="9"/>
      <c r="FL678" s="9"/>
      <c r="FM678" s="9"/>
      <c r="FN678" s="9"/>
      <c r="FO678" s="9"/>
      <c r="FP678" s="9"/>
      <c r="FQ678" s="9"/>
      <c r="FR678" s="9"/>
      <c r="FS678" s="9"/>
      <c r="FT678" s="9"/>
      <c r="FU678" s="9"/>
      <c r="FV678" s="9"/>
      <c r="FW678" s="9"/>
      <c r="FX678" s="9"/>
      <c r="FY678" s="9"/>
      <c r="FZ678" s="9"/>
      <c r="GA678" s="9"/>
      <c r="GB678" s="9"/>
      <c r="GC678" s="9"/>
      <c r="GD678" s="9"/>
      <c r="GE678" s="9"/>
      <c r="GF678" s="9"/>
      <c r="GG678" s="9"/>
      <c r="GH678" s="9"/>
      <c r="GI678" s="9"/>
      <c r="GJ678" s="9"/>
      <c r="GK678" s="9"/>
      <c r="GL678" s="9"/>
      <c r="GM678" s="9"/>
      <c r="GN678" s="9"/>
      <c r="GO678" s="9"/>
      <c r="GP678" s="9"/>
      <c r="GQ678" s="9"/>
    </row>
    <row r="679" spans="2:199" ht="15"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  <c r="ER679" s="9"/>
      <c r="ES679" s="9"/>
      <c r="ET679" s="9"/>
      <c r="EU679" s="9"/>
      <c r="EV679" s="9"/>
      <c r="EW679" s="9"/>
      <c r="EX679" s="9"/>
      <c r="EY679" s="9"/>
      <c r="EZ679" s="9"/>
      <c r="FA679" s="9"/>
      <c r="FB679" s="9"/>
      <c r="FC679" s="9"/>
      <c r="FD679" s="9"/>
      <c r="FE679" s="9"/>
      <c r="FF679" s="9"/>
      <c r="FG679" s="9"/>
      <c r="FH679" s="9"/>
      <c r="FI679" s="9"/>
      <c r="FJ679" s="9"/>
      <c r="FK679" s="9"/>
      <c r="FL679" s="9"/>
      <c r="FM679" s="9"/>
      <c r="FN679" s="9"/>
      <c r="FO679" s="9"/>
      <c r="FP679" s="9"/>
      <c r="FQ679" s="9"/>
      <c r="FR679" s="9"/>
      <c r="FS679" s="9"/>
      <c r="FT679" s="9"/>
      <c r="FU679" s="9"/>
      <c r="FV679" s="9"/>
      <c r="FW679" s="9"/>
      <c r="FX679" s="9"/>
      <c r="FY679" s="9"/>
      <c r="FZ679" s="9"/>
      <c r="GA679" s="9"/>
      <c r="GB679" s="9"/>
      <c r="GC679" s="9"/>
      <c r="GD679" s="9"/>
      <c r="GE679" s="9"/>
      <c r="GF679" s="9"/>
      <c r="GG679" s="9"/>
      <c r="GH679" s="9"/>
      <c r="GI679" s="9"/>
      <c r="GJ679" s="9"/>
      <c r="GK679" s="9"/>
      <c r="GL679" s="9"/>
      <c r="GM679" s="9"/>
      <c r="GN679" s="9"/>
      <c r="GO679" s="9"/>
      <c r="GP679" s="9"/>
      <c r="GQ679" s="9"/>
    </row>
    <row r="680" spans="2:199" ht="15"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  <c r="ES680" s="9"/>
      <c r="ET680" s="9"/>
      <c r="EU680" s="9"/>
      <c r="EV680" s="9"/>
      <c r="EW680" s="9"/>
      <c r="EX680" s="9"/>
      <c r="EY680" s="9"/>
      <c r="EZ680" s="9"/>
      <c r="FA680" s="9"/>
      <c r="FB680" s="9"/>
      <c r="FC680" s="9"/>
      <c r="FD680" s="9"/>
      <c r="FE680" s="9"/>
      <c r="FF680" s="9"/>
      <c r="FG680" s="9"/>
      <c r="FH680" s="9"/>
      <c r="FI680" s="9"/>
      <c r="FJ680" s="9"/>
      <c r="FK680" s="9"/>
      <c r="FL680" s="9"/>
      <c r="FM680" s="9"/>
      <c r="FN680" s="9"/>
      <c r="FO680" s="9"/>
      <c r="FP680" s="9"/>
      <c r="FQ680" s="9"/>
      <c r="FR680" s="9"/>
      <c r="FS680" s="9"/>
      <c r="FT680" s="9"/>
      <c r="FU680" s="9"/>
      <c r="FV680" s="9"/>
      <c r="FW680" s="9"/>
      <c r="FX680" s="9"/>
      <c r="FY680" s="9"/>
      <c r="FZ680" s="9"/>
      <c r="GA680" s="9"/>
      <c r="GB680" s="9"/>
      <c r="GC680" s="9"/>
      <c r="GD680" s="9"/>
      <c r="GE680" s="9"/>
      <c r="GF680" s="9"/>
      <c r="GG680" s="9"/>
      <c r="GH680" s="9"/>
      <c r="GI680" s="9"/>
      <c r="GJ680" s="9"/>
      <c r="GK680" s="9"/>
      <c r="GL680" s="9"/>
      <c r="GM680" s="9"/>
      <c r="GN680" s="9"/>
      <c r="GO680" s="9"/>
      <c r="GP680" s="9"/>
      <c r="GQ680" s="9"/>
    </row>
    <row r="681" spans="2:199" ht="15"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  <c r="ER681" s="9"/>
      <c r="ES681" s="9"/>
      <c r="ET681" s="9"/>
      <c r="EU681" s="9"/>
      <c r="EV681" s="9"/>
      <c r="EW681" s="9"/>
      <c r="EX681" s="9"/>
      <c r="EY681" s="9"/>
      <c r="EZ681" s="9"/>
      <c r="FA681" s="9"/>
      <c r="FB681" s="9"/>
      <c r="FC681" s="9"/>
      <c r="FD681" s="9"/>
      <c r="FE681" s="9"/>
      <c r="FF681" s="9"/>
      <c r="FG681" s="9"/>
      <c r="FH681" s="9"/>
      <c r="FI681" s="9"/>
      <c r="FJ681" s="9"/>
      <c r="FK681" s="9"/>
      <c r="FL681" s="9"/>
      <c r="FM681" s="9"/>
      <c r="FN681" s="9"/>
      <c r="FO681" s="9"/>
      <c r="FP681" s="9"/>
      <c r="FQ681" s="9"/>
      <c r="FR681" s="9"/>
      <c r="FS681" s="9"/>
      <c r="FT681" s="9"/>
      <c r="FU681" s="9"/>
      <c r="FV681" s="9"/>
      <c r="FW681" s="9"/>
      <c r="FX681" s="9"/>
      <c r="FY681" s="9"/>
      <c r="FZ681" s="9"/>
      <c r="GA681" s="9"/>
      <c r="GB681" s="9"/>
      <c r="GC681" s="9"/>
      <c r="GD681" s="9"/>
      <c r="GE681" s="9"/>
      <c r="GF681" s="9"/>
      <c r="GG681" s="9"/>
      <c r="GH681" s="9"/>
      <c r="GI681" s="9"/>
      <c r="GJ681" s="9"/>
      <c r="GK681" s="9"/>
      <c r="GL681" s="9"/>
      <c r="GM681" s="9"/>
      <c r="GN681" s="9"/>
      <c r="GO681" s="9"/>
      <c r="GP681" s="9"/>
      <c r="GQ681" s="9"/>
    </row>
    <row r="682" spans="2:199" ht="15"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  <c r="ER682" s="9"/>
      <c r="ES682" s="9"/>
      <c r="ET682" s="9"/>
      <c r="EU682" s="9"/>
      <c r="EV682" s="9"/>
      <c r="EW682" s="9"/>
      <c r="EX682" s="9"/>
      <c r="EY682" s="9"/>
      <c r="EZ682" s="9"/>
      <c r="FA682" s="9"/>
      <c r="FB682" s="9"/>
      <c r="FC682" s="9"/>
      <c r="FD682" s="9"/>
      <c r="FE682" s="9"/>
      <c r="FF682" s="9"/>
      <c r="FG682" s="9"/>
      <c r="FH682" s="9"/>
      <c r="FI682" s="9"/>
      <c r="FJ682" s="9"/>
      <c r="FK682" s="9"/>
      <c r="FL682" s="9"/>
      <c r="FM682" s="9"/>
      <c r="FN682" s="9"/>
      <c r="FO682" s="9"/>
      <c r="FP682" s="9"/>
      <c r="FQ682" s="9"/>
      <c r="FR682" s="9"/>
      <c r="FS682" s="9"/>
      <c r="FT682" s="9"/>
      <c r="FU682" s="9"/>
      <c r="FV682" s="9"/>
      <c r="FW682" s="9"/>
      <c r="FX682" s="9"/>
      <c r="FY682" s="9"/>
      <c r="FZ682" s="9"/>
      <c r="GA682" s="9"/>
      <c r="GB682" s="9"/>
      <c r="GC682" s="9"/>
      <c r="GD682" s="9"/>
      <c r="GE682" s="9"/>
      <c r="GF682" s="9"/>
      <c r="GG682" s="9"/>
      <c r="GH682" s="9"/>
      <c r="GI682" s="9"/>
      <c r="GJ682" s="9"/>
      <c r="GK682" s="9"/>
      <c r="GL682" s="9"/>
      <c r="GM682" s="9"/>
      <c r="GN682" s="9"/>
      <c r="GO682" s="9"/>
      <c r="GP682" s="9"/>
      <c r="GQ682" s="9"/>
    </row>
    <row r="683" spans="2:199" ht="15"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  <c r="ER683" s="9"/>
      <c r="ES683" s="9"/>
      <c r="ET683" s="9"/>
      <c r="EU683" s="9"/>
      <c r="EV683" s="9"/>
      <c r="EW683" s="9"/>
      <c r="EX683" s="9"/>
      <c r="EY683" s="9"/>
      <c r="EZ683" s="9"/>
      <c r="FA683" s="9"/>
      <c r="FB683" s="9"/>
      <c r="FC683" s="9"/>
      <c r="FD683" s="9"/>
      <c r="FE683" s="9"/>
      <c r="FF683" s="9"/>
      <c r="FG683" s="9"/>
      <c r="FH683" s="9"/>
      <c r="FI683" s="9"/>
      <c r="FJ683" s="9"/>
      <c r="FK683" s="9"/>
      <c r="FL683" s="9"/>
      <c r="FM683" s="9"/>
      <c r="FN683" s="9"/>
      <c r="FO683" s="9"/>
      <c r="FP683" s="9"/>
      <c r="FQ683" s="9"/>
      <c r="FR683" s="9"/>
      <c r="FS683" s="9"/>
      <c r="FT683" s="9"/>
      <c r="FU683" s="9"/>
      <c r="FV683" s="9"/>
      <c r="FW683" s="9"/>
      <c r="FX683" s="9"/>
      <c r="FY683" s="9"/>
      <c r="FZ683" s="9"/>
      <c r="GA683" s="9"/>
      <c r="GB683" s="9"/>
      <c r="GC683" s="9"/>
      <c r="GD683" s="9"/>
      <c r="GE683" s="9"/>
      <c r="GF683" s="9"/>
      <c r="GG683" s="9"/>
      <c r="GH683" s="9"/>
      <c r="GI683" s="9"/>
      <c r="GJ683" s="9"/>
      <c r="GK683" s="9"/>
      <c r="GL683" s="9"/>
      <c r="GM683" s="9"/>
      <c r="GN683" s="9"/>
      <c r="GO683" s="9"/>
      <c r="GP683" s="9"/>
      <c r="GQ683" s="9"/>
    </row>
    <row r="684" spans="2:199" ht="15"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  <c r="ER684" s="9"/>
      <c r="ES684" s="9"/>
      <c r="ET684" s="9"/>
      <c r="EU684" s="9"/>
      <c r="EV684" s="9"/>
      <c r="EW684" s="9"/>
      <c r="EX684" s="9"/>
      <c r="EY684" s="9"/>
      <c r="EZ684" s="9"/>
      <c r="FA684" s="9"/>
      <c r="FB684" s="9"/>
      <c r="FC684" s="9"/>
      <c r="FD684" s="9"/>
      <c r="FE684" s="9"/>
      <c r="FF684" s="9"/>
      <c r="FG684" s="9"/>
      <c r="FH684" s="9"/>
      <c r="FI684" s="9"/>
      <c r="FJ684" s="9"/>
      <c r="FK684" s="9"/>
      <c r="FL684" s="9"/>
      <c r="FM684" s="9"/>
      <c r="FN684" s="9"/>
      <c r="FO684" s="9"/>
      <c r="FP684" s="9"/>
      <c r="FQ684" s="9"/>
      <c r="FR684" s="9"/>
      <c r="FS684" s="9"/>
      <c r="FT684" s="9"/>
      <c r="FU684" s="9"/>
      <c r="FV684" s="9"/>
      <c r="FW684" s="9"/>
      <c r="FX684" s="9"/>
      <c r="FY684" s="9"/>
      <c r="FZ684" s="9"/>
      <c r="GA684" s="9"/>
      <c r="GB684" s="9"/>
      <c r="GC684" s="9"/>
      <c r="GD684" s="9"/>
      <c r="GE684" s="9"/>
      <c r="GF684" s="9"/>
      <c r="GG684" s="9"/>
      <c r="GH684" s="9"/>
      <c r="GI684" s="9"/>
      <c r="GJ684" s="9"/>
      <c r="GK684" s="9"/>
      <c r="GL684" s="9"/>
      <c r="GM684" s="9"/>
      <c r="GN684" s="9"/>
      <c r="GO684" s="9"/>
      <c r="GP684" s="9"/>
      <c r="GQ684" s="9"/>
    </row>
    <row r="685" spans="2:199" ht="15"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  <c r="ER685" s="9"/>
      <c r="ES685" s="9"/>
      <c r="ET685" s="9"/>
      <c r="EU685" s="9"/>
      <c r="EV685" s="9"/>
      <c r="EW685" s="9"/>
      <c r="EX685" s="9"/>
      <c r="EY685" s="9"/>
      <c r="EZ685" s="9"/>
      <c r="FA685" s="9"/>
      <c r="FB685" s="9"/>
      <c r="FC685" s="9"/>
      <c r="FD685" s="9"/>
      <c r="FE685" s="9"/>
      <c r="FF685" s="9"/>
      <c r="FG685" s="9"/>
      <c r="FH685" s="9"/>
      <c r="FI685" s="9"/>
      <c r="FJ685" s="9"/>
      <c r="FK685" s="9"/>
      <c r="FL685" s="9"/>
      <c r="FM685" s="9"/>
      <c r="FN685" s="9"/>
      <c r="FO685" s="9"/>
      <c r="FP685" s="9"/>
      <c r="FQ685" s="9"/>
      <c r="FR685" s="9"/>
      <c r="FS685" s="9"/>
      <c r="FT685" s="9"/>
      <c r="FU685" s="9"/>
      <c r="FV685" s="9"/>
      <c r="FW685" s="9"/>
      <c r="FX685" s="9"/>
      <c r="FY685" s="9"/>
      <c r="FZ685" s="9"/>
      <c r="GA685" s="9"/>
      <c r="GB685" s="9"/>
      <c r="GC685" s="9"/>
      <c r="GD685" s="9"/>
      <c r="GE685" s="9"/>
      <c r="GF685" s="9"/>
      <c r="GG685" s="9"/>
      <c r="GH685" s="9"/>
      <c r="GI685" s="9"/>
      <c r="GJ685" s="9"/>
      <c r="GK685" s="9"/>
      <c r="GL685" s="9"/>
      <c r="GM685" s="9"/>
      <c r="GN685" s="9"/>
      <c r="GO685" s="9"/>
      <c r="GP685" s="9"/>
      <c r="GQ685" s="9"/>
    </row>
    <row r="686" spans="2:199" ht="15"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  <c r="ER686" s="9"/>
      <c r="ES686" s="9"/>
      <c r="ET686" s="9"/>
      <c r="EU686" s="9"/>
      <c r="EV686" s="9"/>
      <c r="EW686" s="9"/>
      <c r="EX686" s="9"/>
      <c r="EY686" s="9"/>
      <c r="EZ686" s="9"/>
      <c r="FA686" s="9"/>
      <c r="FB686" s="9"/>
      <c r="FC686" s="9"/>
      <c r="FD686" s="9"/>
      <c r="FE686" s="9"/>
      <c r="FF686" s="9"/>
      <c r="FG686" s="9"/>
      <c r="FH686" s="9"/>
      <c r="FI686" s="9"/>
      <c r="FJ686" s="9"/>
      <c r="FK686" s="9"/>
      <c r="FL686" s="9"/>
      <c r="FM686" s="9"/>
      <c r="FN686" s="9"/>
      <c r="FO686" s="9"/>
      <c r="FP686" s="9"/>
      <c r="FQ686" s="9"/>
      <c r="FR686" s="9"/>
      <c r="FS686" s="9"/>
      <c r="FT686" s="9"/>
      <c r="FU686" s="9"/>
      <c r="FV686" s="9"/>
      <c r="FW686" s="9"/>
      <c r="FX686" s="9"/>
      <c r="FY686" s="9"/>
      <c r="FZ686" s="9"/>
      <c r="GA686" s="9"/>
      <c r="GB686" s="9"/>
      <c r="GC686" s="9"/>
      <c r="GD686" s="9"/>
      <c r="GE686" s="9"/>
      <c r="GF686" s="9"/>
      <c r="GG686" s="9"/>
      <c r="GH686" s="9"/>
      <c r="GI686" s="9"/>
      <c r="GJ686" s="9"/>
      <c r="GK686" s="9"/>
      <c r="GL686" s="9"/>
      <c r="GM686" s="9"/>
      <c r="GN686" s="9"/>
      <c r="GO686" s="9"/>
      <c r="GP686" s="9"/>
      <c r="GQ686" s="9"/>
    </row>
    <row r="687" spans="2:199" ht="15"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  <c r="ER687" s="9"/>
      <c r="ES687" s="9"/>
      <c r="ET687" s="9"/>
      <c r="EU687" s="9"/>
      <c r="EV687" s="9"/>
      <c r="EW687" s="9"/>
      <c r="EX687" s="9"/>
      <c r="EY687" s="9"/>
      <c r="EZ687" s="9"/>
      <c r="FA687" s="9"/>
      <c r="FB687" s="9"/>
      <c r="FC687" s="9"/>
      <c r="FD687" s="9"/>
      <c r="FE687" s="9"/>
      <c r="FF687" s="9"/>
      <c r="FG687" s="9"/>
      <c r="FH687" s="9"/>
      <c r="FI687" s="9"/>
      <c r="FJ687" s="9"/>
      <c r="FK687" s="9"/>
      <c r="FL687" s="9"/>
      <c r="FM687" s="9"/>
      <c r="FN687" s="9"/>
      <c r="FO687" s="9"/>
      <c r="FP687" s="9"/>
      <c r="FQ687" s="9"/>
      <c r="FR687" s="9"/>
      <c r="FS687" s="9"/>
      <c r="FT687" s="9"/>
      <c r="FU687" s="9"/>
      <c r="FV687" s="9"/>
      <c r="FW687" s="9"/>
      <c r="FX687" s="9"/>
      <c r="FY687" s="9"/>
      <c r="FZ687" s="9"/>
      <c r="GA687" s="9"/>
      <c r="GB687" s="9"/>
      <c r="GC687" s="9"/>
      <c r="GD687" s="9"/>
      <c r="GE687" s="9"/>
      <c r="GF687" s="9"/>
      <c r="GG687" s="9"/>
      <c r="GH687" s="9"/>
      <c r="GI687" s="9"/>
      <c r="GJ687" s="9"/>
      <c r="GK687" s="9"/>
      <c r="GL687" s="9"/>
      <c r="GM687" s="9"/>
      <c r="GN687" s="9"/>
      <c r="GO687" s="9"/>
      <c r="GP687" s="9"/>
      <c r="GQ687" s="9"/>
    </row>
    <row r="688" spans="2:199" ht="15"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  <c r="ES688" s="9"/>
      <c r="ET688" s="9"/>
      <c r="EU688" s="9"/>
      <c r="EV688" s="9"/>
      <c r="EW688" s="9"/>
      <c r="EX688" s="9"/>
      <c r="EY688" s="9"/>
      <c r="EZ688" s="9"/>
      <c r="FA688" s="9"/>
      <c r="FB688" s="9"/>
      <c r="FC688" s="9"/>
      <c r="FD688" s="9"/>
      <c r="FE688" s="9"/>
      <c r="FF688" s="9"/>
      <c r="FG688" s="9"/>
      <c r="FH688" s="9"/>
      <c r="FI688" s="9"/>
      <c r="FJ688" s="9"/>
      <c r="FK688" s="9"/>
      <c r="FL688" s="9"/>
      <c r="FM688" s="9"/>
      <c r="FN688" s="9"/>
      <c r="FO688" s="9"/>
      <c r="FP688" s="9"/>
      <c r="FQ688" s="9"/>
      <c r="FR688" s="9"/>
      <c r="FS688" s="9"/>
      <c r="FT688" s="9"/>
      <c r="FU688" s="9"/>
      <c r="FV688" s="9"/>
      <c r="FW688" s="9"/>
      <c r="FX688" s="9"/>
      <c r="FY688" s="9"/>
      <c r="FZ688" s="9"/>
      <c r="GA688" s="9"/>
      <c r="GB688" s="9"/>
      <c r="GC688" s="9"/>
      <c r="GD688" s="9"/>
      <c r="GE688" s="9"/>
      <c r="GF688" s="9"/>
      <c r="GG688" s="9"/>
      <c r="GH688" s="9"/>
      <c r="GI688" s="9"/>
      <c r="GJ688" s="9"/>
      <c r="GK688" s="9"/>
      <c r="GL688" s="9"/>
      <c r="GM688" s="9"/>
      <c r="GN688" s="9"/>
      <c r="GO688" s="9"/>
      <c r="GP688" s="9"/>
      <c r="GQ688" s="9"/>
    </row>
    <row r="689" spans="2:199" ht="15"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  <c r="ES689" s="9"/>
      <c r="ET689" s="9"/>
      <c r="EU689" s="9"/>
      <c r="EV689" s="9"/>
      <c r="EW689" s="9"/>
      <c r="EX689" s="9"/>
      <c r="EY689" s="9"/>
      <c r="EZ689" s="9"/>
      <c r="FA689" s="9"/>
      <c r="FB689" s="9"/>
      <c r="FC689" s="9"/>
      <c r="FD689" s="9"/>
      <c r="FE689" s="9"/>
      <c r="FF689" s="9"/>
      <c r="FG689" s="9"/>
      <c r="FH689" s="9"/>
      <c r="FI689" s="9"/>
      <c r="FJ689" s="9"/>
      <c r="FK689" s="9"/>
      <c r="FL689" s="9"/>
      <c r="FM689" s="9"/>
      <c r="FN689" s="9"/>
      <c r="FO689" s="9"/>
      <c r="FP689" s="9"/>
      <c r="FQ689" s="9"/>
      <c r="FR689" s="9"/>
      <c r="FS689" s="9"/>
      <c r="FT689" s="9"/>
      <c r="FU689" s="9"/>
      <c r="FV689" s="9"/>
      <c r="FW689" s="9"/>
      <c r="FX689" s="9"/>
      <c r="FY689" s="9"/>
      <c r="FZ689" s="9"/>
      <c r="GA689" s="9"/>
      <c r="GB689" s="9"/>
      <c r="GC689" s="9"/>
      <c r="GD689" s="9"/>
      <c r="GE689" s="9"/>
      <c r="GF689" s="9"/>
      <c r="GG689" s="9"/>
      <c r="GH689" s="9"/>
      <c r="GI689" s="9"/>
      <c r="GJ689" s="9"/>
      <c r="GK689" s="9"/>
      <c r="GL689" s="9"/>
      <c r="GM689" s="9"/>
      <c r="GN689" s="9"/>
      <c r="GO689" s="9"/>
      <c r="GP689" s="9"/>
      <c r="GQ689" s="9"/>
    </row>
    <row r="690" spans="2:199" ht="15"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  <c r="ER690" s="9"/>
      <c r="ES690" s="9"/>
      <c r="ET690" s="9"/>
      <c r="EU690" s="9"/>
      <c r="EV690" s="9"/>
      <c r="EW690" s="9"/>
      <c r="EX690" s="9"/>
      <c r="EY690" s="9"/>
      <c r="EZ690" s="9"/>
      <c r="FA690" s="9"/>
      <c r="FB690" s="9"/>
      <c r="FC690" s="9"/>
      <c r="FD690" s="9"/>
      <c r="FE690" s="9"/>
      <c r="FF690" s="9"/>
      <c r="FG690" s="9"/>
      <c r="FH690" s="9"/>
      <c r="FI690" s="9"/>
      <c r="FJ690" s="9"/>
      <c r="FK690" s="9"/>
      <c r="FL690" s="9"/>
      <c r="FM690" s="9"/>
      <c r="FN690" s="9"/>
      <c r="FO690" s="9"/>
      <c r="FP690" s="9"/>
      <c r="FQ690" s="9"/>
      <c r="FR690" s="9"/>
      <c r="FS690" s="9"/>
      <c r="FT690" s="9"/>
      <c r="FU690" s="9"/>
      <c r="FV690" s="9"/>
      <c r="FW690" s="9"/>
      <c r="FX690" s="9"/>
      <c r="FY690" s="9"/>
      <c r="FZ690" s="9"/>
      <c r="GA690" s="9"/>
      <c r="GB690" s="9"/>
      <c r="GC690" s="9"/>
      <c r="GD690" s="9"/>
      <c r="GE690" s="9"/>
      <c r="GF690" s="9"/>
      <c r="GG690" s="9"/>
      <c r="GH690" s="9"/>
      <c r="GI690" s="9"/>
      <c r="GJ690" s="9"/>
      <c r="GK690" s="9"/>
      <c r="GL690" s="9"/>
      <c r="GM690" s="9"/>
      <c r="GN690" s="9"/>
      <c r="GO690" s="9"/>
      <c r="GP690" s="9"/>
      <c r="GQ690" s="9"/>
    </row>
    <row r="691" spans="2:199" ht="15"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  <c r="ER691" s="9"/>
      <c r="ES691" s="9"/>
      <c r="ET691" s="9"/>
      <c r="EU691" s="9"/>
      <c r="EV691" s="9"/>
      <c r="EW691" s="9"/>
      <c r="EX691" s="9"/>
      <c r="EY691" s="9"/>
      <c r="EZ691" s="9"/>
      <c r="FA691" s="9"/>
      <c r="FB691" s="9"/>
      <c r="FC691" s="9"/>
      <c r="FD691" s="9"/>
      <c r="FE691" s="9"/>
      <c r="FF691" s="9"/>
      <c r="FG691" s="9"/>
      <c r="FH691" s="9"/>
      <c r="FI691" s="9"/>
      <c r="FJ691" s="9"/>
      <c r="FK691" s="9"/>
      <c r="FL691" s="9"/>
      <c r="FM691" s="9"/>
      <c r="FN691" s="9"/>
      <c r="FO691" s="9"/>
      <c r="FP691" s="9"/>
      <c r="FQ691" s="9"/>
      <c r="FR691" s="9"/>
      <c r="FS691" s="9"/>
      <c r="FT691" s="9"/>
      <c r="FU691" s="9"/>
      <c r="FV691" s="9"/>
      <c r="FW691" s="9"/>
      <c r="FX691" s="9"/>
      <c r="FY691" s="9"/>
      <c r="FZ691" s="9"/>
      <c r="GA691" s="9"/>
      <c r="GB691" s="9"/>
      <c r="GC691" s="9"/>
      <c r="GD691" s="9"/>
      <c r="GE691" s="9"/>
      <c r="GF691" s="9"/>
      <c r="GG691" s="9"/>
      <c r="GH691" s="9"/>
      <c r="GI691" s="9"/>
      <c r="GJ691" s="9"/>
      <c r="GK691" s="9"/>
      <c r="GL691" s="9"/>
      <c r="GM691" s="9"/>
      <c r="GN691" s="9"/>
      <c r="GO691" s="9"/>
      <c r="GP691" s="9"/>
      <c r="GQ691" s="9"/>
    </row>
    <row r="692" spans="2:199" ht="15"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  <c r="ER692" s="9"/>
      <c r="ES692" s="9"/>
      <c r="ET692" s="9"/>
      <c r="EU692" s="9"/>
      <c r="EV692" s="9"/>
      <c r="EW692" s="9"/>
      <c r="EX692" s="9"/>
      <c r="EY692" s="9"/>
      <c r="EZ692" s="9"/>
      <c r="FA692" s="9"/>
      <c r="FB692" s="9"/>
      <c r="FC692" s="9"/>
      <c r="FD692" s="9"/>
      <c r="FE692" s="9"/>
      <c r="FF692" s="9"/>
      <c r="FG692" s="9"/>
      <c r="FH692" s="9"/>
      <c r="FI692" s="9"/>
      <c r="FJ692" s="9"/>
      <c r="FK692" s="9"/>
      <c r="FL692" s="9"/>
      <c r="FM692" s="9"/>
      <c r="FN692" s="9"/>
      <c r="FO692" s="9"/>
      <c r="FP692" s="9"/>
      <c r="FQ692" s="9"/>
      <c r="FR692" s="9"/>
      <c r="FS692" s="9"/>
      <c r="FT692" s="9"/>
      <c r="FU692" s="9"/>
      <c r="FV692" s="9"/>
      <c r="FW692" s="9"/>
      <c r="FX692" s="9"/>
      <c r="FY692" s="9"/>
      <c r="FZ692" s="9"/>
      <c r="GA692" s="9"/>
      <c r="GB692" s="9"/>
      <c r="GC692" s="9"/>
      <c r="GD692" s="9"/>
      <c r="GE692" s="9"/>
      <c r="GF692" s="9"/>
      <c r="GG692" s="9"/>
      <c r="GH692" s="9"/>
      <c r="GI692" s="9"/>
      <c r="GJ692" s="9"/>
      <c r="GK692" s="9"/>
      <c r="GL692" s="9"/>
      <c r="GM692" s="9"/>
      <c r="GN692" s="9"/>
      <c r="GO692" s="9"/>
      <c r="GP692" s="9"/>
      <c r="GQ692" s="9"/>
    </row>
    <row r="693" spans="2:199" ht="15"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  <c r="ES693" s="9"/>
      <c r="ET693" s="9"/>
      <c r="EU693" s="9"/>
      <c r="EV693" s="9"/>
      <c r="EW693" s="9"/>
      <c r="EX693" s="9"/>
      <c r="EY693" s="9"/>
      <c r="EZ693" s="9"/>
      <c r="FA693" s="9"/>
      <c r="FB693" s="9"/>
      <c r="FC693" s="9"/>
      <c r="FD693" s="9"/>
      <c r="FE693" s="9"/>
      <c r="FF693" s="9"/>
      <c r="FG693" s="9"/>
      <c r="FH693" s="9"/>
      <c r="FI693" s="9"/>
      <c r="FJ693" s="9"/>
      <c r="FK693" s="9"/>
      <c r="FL693" s="9"/>
      <c r="FM693" s="9"/>
      <c r="FN693" s="9"/>
      <c r="FO693" s="9"/>
      <c r="FP693" s="9"/>
      <c r="FQ693" s="9"/>
      <c r="FR693" s="9"/>
      <c r="FS693" s="9"/>
      <c r="FT693" s="9"/>
      <c r="FU693" s="9"/>
      <c r="FV693" s="9"/>
      <c r="FW693" s="9"/>
      <c r="FX693" s="9"/>
      <c r="FY693" s="9"/>
      <c r="FZ693" s="9"/>
      <c r="GA693" s="9"/>
      <c r="GB693" s="9"/>
      <c r="GC693" s="9"/>
      <c r="GD693" s="9"/>
      <c r="GE693" s="9"/>
      <c r="GF693" s="9"/>
      <c r="GG693" s="9"/>
      <c r="GH693" s="9"/>
      <c r="GI693" s="9"/>
      <c r="GJ693" s="9"/>
      <c r="GK693" s="9"/>
      <c r="GL693" s="9"/>
      <c r="GM693" s="9"/>
      <c r="GN693" s="9"/>
      <c r="GO693" s="9"/>
      <c r="GP693" s="9"/>
      <c r="GQ693" s="9"/>
    </row>
    <row r="694" spans="2:199" ht="15"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  <c r="ER694" s="9"/>
      <c r="ES694" s="9"/>
      <c r="ET694" s="9"/>
      <c r="EU694" s="9"/>
      <c r="EV694" s="9"/>
      <c r="EW694" s="9"/>
      <c r="EX694" s="9"/>
      <c r="EY694" s="9"/>
      <c r="EZ694" s="9"/>
      <c r="FA694" s="9"/>
      <c r="FB694" s="9"/>
      <c r="FC694" s="9"/>
      <c r="FD694" s="9"/>
      <c r="FE694" s="9"/>
      <c r="FF694" s="9"/>
      <c r="FG694" s="9"/>
      <c r="FH694" s="9"/>
      <c r="FI694" s="9"/>
      <c r="FJ694" s="9"/>
      <c r="FK694" s="9"/>
      <c r="FL694" s="9"/>
      <c r="FM694" s="9"/>
      <c r="FN694" s="9"/>
      <c r="FO694" s="9"/>
      <c r="FP694" s="9"/>
      <c r="FQ694" s="9"/>
      <c r="FR694" s="9"/>
      <c r="FS694" s="9"/>
      <c r="FT694" s="9"/>
      <c r="FU694" s="9"/>
      <c r="FV694" s="9"/>
      <c r="FW694" s="9"/>
      <c r="FX694" s="9"/>
      <c r="FY694" s="9"/>
      <c r="FZ694" s="9"/>
      <c r="GA694" s="9"/>
      <c r="GB694" s="9"/>
      <c r="GC694" s="9"/>
      <c r="GD694" s="9"/>
      <c r="GE694" s="9"/>
      <c r="GF694" s="9"/>
      <c r="GG694" s="9"/>
      <c r="GH694" s="9"/>
      <c r="GI694" s="9"/>
      <c r="GJ694" s="9"/>
      <c r="GK694" s="9"/>
      <c r="GL694" s="9"/>
      <c r="GM694" s="9"/>
      <c r="GN694" s="9"/>
      <c r="GO694" s="9"/>
      <c r="GP694" s="9"/>
      <c r="GQ694" s="9"/>
    </row>
    <row r="695" spans="2:199" ht="15"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  <c r="ER695" s="9"/>
      <c r="ES695" s="9"/>
      <c r="ET695" s="9"/>
      <c r="EU695" s="9"/>
      <c r="EV695" s="9"/>
      <c r="EW695" s="9"/>
      <c r="EX695" s="9"/>
      <c r="EY695" s="9"/>
      <c r="EZ695" s="9"/>
      <c r="FA695" s="9"/>
      <c r="FB695" s="9"/>
      <c r="FC695" s="9"/>
      <c r="FD695" s="9"/>
      <c r="FE695" s="9"/>
      <c r="FF695" s="9"/>
      <c r="FG695" s="9"/>
      <c r="FH695" s="9"/>
      <c r="FI695" s="9"/>
      <c r="FJ695" s="9"/>
      <c r="FK695" s="9"/>
      <c r="FL695" s="9"/>
      <c r="FM695" s="9"/>
      <c r="FN695" s="9"/>
      <c r="FO695" s="9"/>
      <c r="FP695" s="9"/>
      <c r="FQ695" s="9"/>
      <c r="FR695" s="9"/>
      <c r="FS695" s="9"/>
      <c r="FT695" s="9"/>
      <c r="FU695" s="9"/>
      <c r="FV695" s="9"/>
      <c r="FW695" s="9"/>
      <c r="FX695" s="9"/>
      <c r="FY695" s="9"/>
      <c r="FZ695" s="9"/>
      <c r="GA695" s="9"/>
      <c r="GB695" s="9"/>
      <c r="GC695" s="9"/>
      <c r="GD695" s="9"/>
      <c r="GE695" s="9"/>
      <c r="GF695" s="9"/>
      <c r="GG695" s="9"/>
      <c r="GH695" s="9"/>
      <c r="GI695" s="9"/>
      <c r="GJ695" s="9"/>
      <c r="GK695" s="9"/>
      <c r="GL695" s="9"/>
      <c r="GM695" s="9"/>
      <c r="GN695" s="9"/>
      <c r="GO695" s="9"/>
      <c r="GP695" s="9"/>
      <c r="GQ695" s="9"/>
    </row>
    <row r="696" spans="2:199" ht="15"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  <c r="ER696" s="9"/>
      <c r="ES696" s="9"/>
      <c r="ET696" s="9"/>
      <c r="EU696" s="9"/>
      <c r="EV696" s="9"/>
      <c r="EW696" s="9"/>
      <c r="EX696" s="9"/>
      <c r="EY696" s="9"/>
      <c r="EZ696" s="9"/>
      <c r="FA696" s="9"/>
      <c r="FB696" s="9"/>
      <c r="FC696" s="9"/>
      <c r="FD696" s="9"/>
      <c r="FE696" s="9"/>
      <c r="FF696" s="9"/>
      <c r="FG696" s="9"/>
      <c r="FH696" s="9"/>
      <c r="FI696" s="9"/>
      <c r="FJ696" s="9"/>
      <c r="FK696" s="9"/>
      <c r="FL696" s="9"/>
      <c r="FM696" s="9"/>
      <c r="FN696" s="9"/>
      <c r="FO696" s="9"/>
      <c r="FP696" s="9"/>
      <c r="FQ696" s="9"/>
      <c r="FR696" s="9"/>
      <c r="FS696" s="9"/>
      <c r="FT696" s="9"/>
      <c r="FU696" s="9"/>
      <c r="FV696" s="9"/>
      <c r="FW696" s="9"/>
      <c r="FX696" s="9"/>
      <c r="FY696" s="9"/>
      <c r="FZ696" s="9"/>
      <c r="GA696" s="9"/>
      <c r="GB696" s="9"/>
      <c r="GC696" s="9"/>
      <c r="GD696" s="9"/>
      <c r="GE696" s="9"/>
      <c r="GF696" s="9"/>
      <c r="GG696" s="9"/>
      <c r="GH696" s="9"/>
      <c r="GI696" s="9"/>
      <c r="GJ696" s="9"/>
      <c r="GK696" s="9"/>
      <c r="GL696" s="9"/>
      <c r="GM696" s="9"/>
      <c r="GN696" s="9"/>
      <c r="GO696" s="9"/>
      <c r="GP696" s="9"/>
      <c r="GQ696" s="9"/>
    </row>
    <row r="697" spans="2:199" ht="15"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  <c r="ER697" s="9"/>
      <c r="ES697" s="9"/>
      <c r="ET697" s="9"/>
      <c r="EU697" s="9"/>
      <c r="EV697" s="9"/>
      <c r="EW697" s="9"/>
      <c r="EX697" s="9"/>
      <c r="EY697" s="9"/>
      <c r="EZ697" s="9"/>
      <c r="FA697" s="9"/>
      <c r="FB697" s="9"/>
      <c r="FC697" s="9"/>
      <c r="FD697" s="9"/>
      <c r="FE697" s="9"/>
      <c r="FF697" s="9"/>
      <c r="FG697" s="9"/>
      <c r="FH697" s="9"/>
      <c r="FI697" s="9"/>
      <c r="FJ697" s="9"/>
      <c r="FK697" s="9"/>
      <c r="FL697" s="9"/>
      <c r="FM697" s="9"/>
      <c r="FN697" s="9"/>
      <c r="FO697" s="9"/>
      <c r="FP697" s="9"/>
      <c r="FQ697" s="9"/>
      <c r="FR697" s="9"/>
      <c r="FS697" s="9"/>
      <c r="FT697" s="9"/>
      <c r="FU697" s="9"/>
      <c r="FV697" s="9"/>
      <c r="FW697" s="9"/>
      <c r="FX697" s="9"/>
      <c r="FY697" s="9"/>
      <c r="FZ697" s="9"/>
      <c r="GA697" s="9"/>
      <c r="GB697" s="9"/>
      <c r="GC697" s="9"/>
      <c r="GD697" s="9"/>
      <c r="GE697" s="9"/>
      <c r="GF697" s="9"/>
      <c r="GG697" s="9"/>
      <c r="GH697" s="9"/>
      <c r="GI697" s="9"/>
      <c r="GJ697" s="9"/>
      <c r="GK697" s="9"/>
      <c r="GL697" s="9"/>
      <c r="GM697" s="9"/>
      <c r="GN697" s="9"/>
      <c r="GO697" s="9"/>
      <c r="GP697" s="9"/>
      <c r="GQ697" s="9"/>
    </row>
    <row r="698" spans="2:199" ht="15"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  <c r="ER698" s="9"/>
      <c r="ES698" s="9"/>
      <c r="ET698" s="9"/>
      <c r="EU698" s="9"/>
      <c r="EV698" s="9"/>
      <c r="EW698" s="9"/>
      <c r="EX698" s="9"/>
      <c r="EY698" s="9"/>
      <c r="EZ698" s="9"/>
      <c r="FA698" s="9"/>
      <c r="FB698" s="9"/>
      <c r="FC698" s="9"/>
      <c r="FD698" s="9"/>
      <c r="FE698" s="9"/>
      <c r="FF698" s="9"/>
      <c r="FG698" s="9"/>
      <c r="FH698" s="9"/>
      <c r="FI698" s="9"/>
      <c r="FJ698" s="9"/>
      <c r="FK698" s="9"/>
      <c r="FL698" s="9"/>
      <c r="FM698" s="9"/>
      <c r="FN698" s="9"/>
      <c r="FO698" s="9"/>
      <c r="FP698" s="9"/>
      <c r="FQ698" s="9"/>
      <c r="FR698" s="9"/>
      <c r="FS698" s="9"/>
      <c r="FT698" s="9"/>
      <c r="FU698" s="9"/>
      <c r="FV698" s="9"/>
      <c r="FW698" s="9"/>
      <c r="FX698" s="9"/>
      <c r="FY698" s="9"/>
      <c r="FZ698" s="9"/>
      <c r="GA698" s="9"/>
      <c r="GB698" s="9"/>
      <c r="GC698" s="9"/>
      <c r="GD698" s="9"/>
      <c r="GE698" s="9"/>
      <c r="GF698" s="9"/>
      <c r="GG698" s="9"/>
      <c r="GH698" s="9"/>
      <c r="GI698" s="9"/>
      <c r="GJ698" s="9"/>
      <c r="GK698" s="9"/>
      <c r="GL698" s="9"/>
      <c r="GM698" s="9"/>
      <c r="GN698" s="9"/>
      <c r="GO698" s="9"/>
      <c r="GP698" s="9"/>
      <c r="GQ698" s="9"/>
    </row>
    <row r="699" spans="2:199" ht="15"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  <c r="ER699" s="9"/>
      <c r="ES699" s="9"/>
      <c r="ET699" s="9"/>
      <c r="EU699" s="9"/>
      <c r="EV699" s="9"/>
      <c r="EW699" s="9"/>
      <c r="EX699" s="9"/>
      <c r="EY699" s="9"/>
      <c r="EZ699" s="9"/>
      <c r="FA699" s="9"/>
      <c r="FB699" s="9"/>
      <c r="FC699" s="9"/>
      <c r="FD699" s="9"/>
      <c r="FE699" s="9"/>
      <c r="FF699" s="9"/>
      <c r="FG699" s="9"/>
      <c r="FH699" s="9"/>
      <c r="FI699" s="9"/>
      <c r="FJ699" s="9"/>
      <c r="FK699" s="9"/>
      <c r="FL699" s="9"/>
      <c r="FM699" s="9"/>
      <c r="FN699" s="9"/>
      <c r="FO699" s="9"/>
      <c r="FP699" s="9"/>
      <c r="FQ699" s="9"/>
      <c r="FR699" s="9"/>
      <c r="FS699" s="9"/>
      <c r="FT699" s="9"/>
      <c r="FU699" s="9"/>
      <c r="FV699" s="9"/>
      <c r="FW699" s="9"/>
      <c r="FX699" s="9"/>
      <c r="FY699" s="9"/>
      <c r="FZ699" s="9"/>
      <c r="GA699" s="9"/>
      <c r="GB699" s="9"/>
      <c r="GC699" s="9"/>
      <c r="GD699" s="9"/>
      <c r="GE699" s="9"/>
      <c r="GF699" s="9"/>
      <c r="GG699" s="9"/>
      <c r="GH699" s="9"/>
      <c r="GI699" s="9"/>
      <c r="GJ699" s="9"/>
      <c r="GK699" s="9"/>
      <c r="GL699" s="9"/>
      <c r="GM699" s="9"/>
      <c r="GN699" s="9"/>
      <c r="GO699" s="9"/>
      <c r="GP699" s="9"/>
      <c r="GQ699" s="9"/>
    </row>
    <row r="700" spans="2:199" ht="15"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  <c r="ER700" s="9"/>
      <c r="ES700" s="9"/>
      <c r="ET700" s="9"/>
      <c r="EU700" s="9"/>
      <c r="EV700" s="9"/>
      <c r="EW700" s="9"/>
      <c r="EX700" s="9"/>
      <c r="EY700" s="9"/>
      <c r="EZ700" s="9"/>
      <c r="FA700" s="9"/>
      <c r="FB700" s="9"/>
      <c r="FC700" s="9"/>
      <c r="FD700" s="9"/>
      <c r="FE700" s="9"/>
      <c r="FF700" s="9"/>
      <c r="FG700" s="9"/>
      <c r="FH700" s="9"/>
      <c r="FI700" s="9"/>
      <c r="FJ700" s="9"/>
      <c r="FK700" s="9"/>
      <c r="FL700" s="9"/>
      <c r="FM700" s="9"/>
      <c r="FN700" s="9"/>
      <c r="FO700" s="9"/>
      <c r="FP700" s="9"/>
      <c r="FQ700" s="9"/>
      <c r="FR700" s="9"/>
      <c r="FS700" s="9"/>
      <c r="FT700" s="9"/>
      <c r="FU700" s="9"/>
      <c r="FV700" s="9"/>
      <c r="FW700" s="9"/>
      <c r="FX700" s="9"/>
      <c r="FY700" s="9"/>
      <c r="FZ700" s="9"/>
      <c r="GA700" s="9"/>
      <c r="GB700" s="9"/>
      <c r="GC700" s="9"/>
      <c r="GD700" s="9"/>
      <c r="GE700" s="9"/>
      <c r="GF700" s="9"/>
      <c r="GG700" s="9"/>
      <c r="GH700" s="9"/>
      <c r="GI700" s="9"/>
      <c r="GJ700" s="9"/>
      <c r="GK700" s="9"/>
      <c r="GL700" s="9"/>
      <c r="GM700" s="9"/>
      <c r="GN700" s="9"/>
      <c r="GO700" s="9"/>
      <c r="GP700" s="9"/>
      <c r="GQ700" s="9"/>
    </row>
    <row r="701" spans="2:199" ht="15"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  <c r="ER701" s="9"/>
      <c r="ES701" s="9"/>
      <c r="ET701" s="9"/>
      <c r="EU701" s="9"/>
      <c r="EV701" s="9"/>
      <c r="EW701" s="9"/>
      <c r="EX701" s="9"/>
      <c r="EY701" s="9"/>
      <c r="EZ701" s="9"/>
      <c r="FA701" s="9"/>
      <c r="FB701" s="9"/>
      <c r="FC701" s="9"/>
      <c r="FD701" s="9"/>
      <c r="FE701" s="9"/>
      <c r="FF701" s="9"/>
      <c r="FG701" s="9"/>
      <c r="FH701" s="9"/>
      <c r="FI701" s="9"/>
      <c r="FJ701" s="9"/>
      <c r="FK701" s="9"/>
      <c r="FL701" s="9"/>
      <c r="FM701" s="9"/>
      <c r="FN701" s="9"/>
      <c r="FO701" s="9"/>
      <c r="FP701" s="9"/>
      <c r="FQ701" s="9"/>
      <c r="FR701" s="9"/>
      <c r="FS701" s="9"/>
      <c r="FT701" s="9"/>
      <c r="FU701" s="9"/>
      <c r="FV701" s="9"/>
      <c r="FW701" s="9"/>
      <c r="FX701" s="9"/>
      <c r="FY701" s="9"/>
      <c r="FZ701" s="9"/>
      <c r="GA701" s="9"/>
      <c r="GB701" s="9"/>
      <c r="GC701" s="9"/>
      <c r="GD701" s="9"/>
      <c r="GE701" s="9"/>
      <c r="GF701" s="9"/>
      <c r="GG701" s="9"/>
      <c r="GH701" s="9"/>
      <c r="GI701" s="9"/>
      <c r="GJ701" s="9"/>
      <c r="GK701" s="9"/>
      <c r="GL701" s="9"/>
      <c r="GM701" s="9"/>
      <c r="GN701" s="9"/>
      <c r="GO701" s="9"/>
      <c r="GP701" s="9"/>
      <c r="GQ701" s="9"/>
    </row>
    <row r="702" spans="2:199" ht="15"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  <c r="ER702" s="9"/>
      <c r="ES702" s="9"/>
      <c r="ET702" s="9"/>
      <c r="EU702" s="9"/>
      <c r="EV702" s="9"/>
      <c r="EW702" s="9"/>
      <c r="EX702" s="9"/>
      <c r="EY702" s="9"/>
      <c r="EZ702" s="9"/>
      <c r="FA702" s="9"/>
      <c r="FB702" s="9"/>
      <c r="FC702" s="9"/>
      <c r="FD702" s="9"/>
      <c r="FE702" s="9"/>
      <c r="FF702" s="9"/>
      <c r="FG702" s="9"/>
      <c r="FH702" s="9"/>
      <c r="FI702" s="9"/>
      <c r="FJ702" s="9"/>
      <c r="FK702" s="9"/>
      <c r="FL702" s="9"/>
      <c r="FM702" s="9"/>
      <c r="FN702" s="9"/>
      <c r="FO702" s="9"/>
      <c r="FP702" s="9"/>
      <c r="FQ702" s="9"/>
      <c r="FR702" s="9"/>
      <c r="FS702" s="9"/>
      <c r="FT702" s="9"/>
      <c r="FU702" s="9"/>
      <c r="FV702" s="9"/>
      <c r="FW702" s="9"/>
      <c r="FX702" s="9"/>
      <c r="FY702" s="9"/>
      <c r="FZ702" s="9"/>
      <c r="GA702" s="9"/>
      <c r="GB702" s="9"/>
      <c r="GC702" s="9"/>
      <c r="GD702" s="9"/>
      <c r="GE702" s="9"/>
      <c r="GF702" s="9"/>
      <c r="GG702" s="9"/>
      <c r="GH702" s="9"/>
      <c r="GI702" s="9"/>
      <c r="GJ702" s="9"/>
      <c r="GK702" s="9"/>
      <c r="GL702" s="9"/>
      <c r="GM702" s="9"/>
      <c r="GN702" s="9"/>
      <c r="GO702" s="9"/>
      <c r="GP702" s="9"/>
      <c r="GQ702" s="9"/>
    </row>
    <row r="703" spans="2:199" ht="15"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  <c r="EQ703" s="9"/>
      <c r="ER703" s="9"/>
      <c r="ES703" s="9"/>
      <c r="ET703" s="9"/>
      <c r="EU703" s="9"/>
      <c r="EV703" s="9"/>
      <c r="EW703" s="9"/>
      <c r="EX703" s="9"/>
      <c r="EY703" s="9"/>
      <c r="EZ703" s="9"/>
      <c r="FA703" s="9"/>
      <c r="FB703" s="9"/>
      <c r="FC703" s="9"/>
      <c r="FD703" s="9"/>
      <c r="FE703" s="9"/>
      <c r="FF703" s="9"/>
      <c r="FG703" s="9"/>
      <c r="FH703" s="9"/>
      <c r="FI703" s="9"/>
      <c r="FJ703" s="9"/>
      <c r="FK703" s="9"/>
      <c r="FL703" s="9"/>
      <c r="FM703" s="9"/>
      <c r="FN703" s="9"/>
      <c r="FO703" s="9"/>
      <c r="FP703" s="9"/>
      <c r="FQ703" s="9"/>
      <c r="FR703" s="9"/>
      <c r="FS703" s="9"/>
      <c r="FT703" s="9"/>
      <c r="FU703" s="9"/>
      <c r="FV703" s="9"/>
      <c r="FW703" s="9"/>
      <c r="FX703" s="9"/>
      <c r="FY703" s="9"/>
      <c r="FZ703" s="9"/>
      <c r="GA703" s="9"/>
      <c r="GB703" s="9"/>
      <c r="GC703" s="9"/>
      <c r="GD703" s="9"/>
      <c r="GE703" s="9"/>
      <c r="GF703" s="9"/>
      <c r="GG703" s="9"/>
      <c r="GH703" s="9"/>
      <c r="GI703" s="9"/>
      <c r="GJ703" s="9"/>
      <c r="GK703" s="9"/>
      <c r="GL703" s="9"/>
      <c r="GM703" s="9"/>
      <c r="GN703" s="9"/>
      <c r="GO703" s="9"/>
      <c r="GP703" s="9"/>
      <c r="GQ703" s="9"/>
    </row>
    <row r="704" spans="2:199" ht="15"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  <c r="ER704" s="9"/>
      <c r="ES704" s="9"/>
      <c r="ET704" s="9"/>
      <c r="EU704" s="9"/>
      <c r="EV704" s="9"/>
      <c r="EW704" s="9"/>
      <c r="EX704" s="9"/>
      <c r="EY704" s="9"/>
      <c r="EZ704" s="9"/>
      <c r="FA704" s="9"/>
      <c r="FB704" s="9"/>
      <c r="FC704" s="9"/>
      <c r="FD704" s="9"/>
      <c r="FE704" s="9"/>
      <c r="FF704" s="9"/>
      <c r="FG704" s="9"/>
      <c r="FH704" s="9"/>
      <c r="FI704" s="9"/>
      <c r="FJ704" s="9"/>
      <c r="FK704" s="9"/>
      <c r="FL704" s="9"/>
      <c r="FM704" s="9"/>
      <c r="FN704" s="9"/>
      <c r="FO704" s="9"/>
      <c r="FP704" s="9"/>
      <c r="FQ704" s="9"/>
      <c r="FR704" s="9"/>
      <c r="FS704" s="9"/>
      <c r="FT704" s="9"/>
      <c r="FU704" s="9"/>
      <c r="FV704" s="9"/>
      <c r="FW704" s="9"/>
      <c r="FX704" s="9"/>
      <c r="FY704" s="9"/>
      <c r="FZ704" s="9"/>
      <c r="GA704" s="9"/>
      <c r="GB704" s="9"/>
      <c r="GC704" s="9"/>
      <c r="GD704" s="9"/>
      <c r="GE704" s="9"/>
      <c r="GF704" s="9"/>
      <c r="GG704" s="9"/>
      <c r="GH704" s="9"/>
      <c r="GI704" s="9"/>
      <c r="GJ704" s="9"/>
      <c r="GK704" s="9"/>
      <c r="GL704" s="9"/>
      <c r="GM704" s="9"/>
      <c r="GN704" s="9"/>
      <c r="GO704" s="9"/>
      <c r="GP704" s="9"/>
      <c r="GQ704" s="9"/>
    </row>
    <row r="705" spans="2:199" ht="15"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  <c r="ER705" s="9"/>
      <c r="ES705" s="9"/>
      <c r="ET705" s="9"/>
      <c r="EU705" s="9"/>
      <c r="EV705" s="9"/>
      <c r="EW705" s="9"/>
      <c r="EX705" s="9"/>
      <c r="EY705" s="9"/>
      <c r="EZ705" s="9"/>
      <c r="FA705" s="9"/>
      <c r="FB705" s="9"/>
      <c r="FC705" s="9"/>
      <c r="FD705" s="9"/>
      <c r="FE705" s="9"/>
      <c r="FF705" s="9"/>
      <c r="FG705" s="9"/>
      <c r="FH705" s="9"/>
      <c r="FI705" s="9"/>
      <c r="FJ705" s="9"/>
      <c r="FK705" s="9"/>
      <c r="FL705" s="9"/>
      <c r="FM705" s="9"/>
      <c r="FN705" s="9"/>
      <c r="FO705" s="9"/>
      <c r="FP705" s="9"/>
      <c r="FQ705" s="9"/>
      <c r="FR705" s="9"/>
      <c r="FS705" s="9"/>
      <c r="FT705" s="9"/>
      <c r="FU705" s="9"/>
      <c r="FV705" s="9"/>
      <c r="FW705" s="9"/>
      <c r="FX705" s="9"/>
      <c r="FY705" s="9"/>
      <c r="FZ705" s="9"/>
      <c r="GA705" s="9"/>
      <c r="GB705" s="9"/>
      <c r="GC705" s="9"/>
      <c r="GD705" s="9"/>
      <c r="GE705" s="9"/>
      <c r="GF705" s="9"/>
      <c r="GG705" s="9"/>
      <c r="GH705" s="9"/>
      <c r="GI705" s="9"/>
      <c r="GJ705" s="9"/>
      <c r="GK705" s="9"/>
      <c r="GL705" s="9"/>
      <c r="GM705" s="9"/>
      <c r="GN705" s="9"/>
      <c r="GO705" s="9"/>
      <c r="GP705" s="9"/>
      <c r="GQ705" s="9"/>
    </row>
    <row r="706" spans="2:199" ht="15"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  <c r="EH706" s="9"/>
      <c r="EI706" s="9"/>
      <c r="EJ706" s="9"/>
      <c r="EK706" s="9"/>
      <c r="EL706" s="9"/>
      <c r="EM706" s="9"/>
      <c r="EN706" s="9"/>
      <c r="EO706" s="9"/>
      <c r="EP706" s="9"/>
      <c r="EQ706" s="9"/>
      <c r="ER706" s="9"/>
      <c r="ES706" s="9"/>
      <c r="ET706" s="9"/>
      <c r="EU706" s="9"/>
      <c r="EV706" s="9"/>
      <c r="EW706" s="9"/>
      <c r="EX706" s="9"/>
      <c r="EY706" s="9"/>
      <c r="EZ706" s="9"/>
      <c r="FA706" s="9"/>
      <c r="FB706" s="9"/>
      <c r="FC706" s="9"/>
      <c r="FD706" s="9"/>
      <c r="FE706" s="9"/>
      <c r="FF706" s="9"/>
      <c r="FG706" s="9"/>
      <c r="FH706" s="9"/>
      <c r="FI706" s="9"/>
      <c r="FJ706" s="9"/>
      <c r="FK706" s="9"/>
      <c r="FL706" s="9"/>
      <c r="FM706" s="9"/>
      <c r="FN706" s="9"/>
      <c r="FO706" s="9"/>
      <c r="FP706" s="9"/>
      <c r="FQ706" s="9"/>
      <c r="FR706" s="9"/>
      <c r="FS706" s="9"/>
      <c r="FT706" s="9"/>
      <c r="FU706" s="9"/>
      <c r="FV706" s="9"/>
      <c r="FW706" s="9"/>
      <c r="FX706" s="9"/>
      <c r="FY706" s="9"/>
      <c r="FZ706" s="9"/>
      <c r="GA706" s="9"/>
      <c r="GB706" s="9"/>
      <c r="GC706" s="9"/>
      <c r="GD706" s="9"/>
      <c r="GE706" s="9"/>
      <c r="GF706" s="9"/>
      <c r="GG706" s="9"/>
      <c r="GH706" s="9"/>
      <c r="GI706" s="9"/>
      <c r="GJ706" s="9"/>
      <c r="GK706" s="9"/>
      <c r="GL706" s="9"/>
      <c r="GM706" s="9"/>
      <c r="GN706" s="9"/>
      <c r="GO706" s="9"/>
      <c r="GP706" s="9"/>
      <c r="GQ706" s="9"/>
    </row>
    <row r="707" spans="2:199" ht="15"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  <c r="EF707" s="9"/>
      <c r="EG707" s="9"/>
      <c r="EH707" s="9"/>
      <c r="EI707" s="9"/>
      <c r="EJ707" s="9"/>
      <c r="EK707" s="9"/>
      <c r="EL707" s="9"/>
      <c r="EM707" s="9"/>
      <c r="EN707" s="9"/>
      <c r="EO707" s="9"/>
      <c r="EP707" s="9"/>
      <c r="EQ707" s="9"/>
      <c r="ER707" s="9"/>
      <c r="ES707" s="9"/>
      <c r="ET707" s="9"/>
      <c r="EU707" s="9"/>
      <c r="EV707" s="9"/>
      <c r="EW707" s="9"/>
      <c r="EX707" s="9"/>
      <c r="EY707" s="9"/>
      <c r="EZ707" s="9"/>
      <c r="FA707" s="9"/>
      <c r="FB707" s="9"/>
      <c r="FC707" s="9"/>
      <c r="FD707" s="9"/>
      <c r="FE707" s="9"/>
      <c r="FF707" s="9"/>
      <c r="FG707" s="9"/>
      <c r="FH707" s="9"/>
      <c r="FI707" s="9"/>
      <c r="FJ707" s="9"/>
      <c r="FK707" s="9"/>
      <c r="FL707" s="9"/>
      <c r="FM707" s="9"/>
      <c r="FN707" s="9"/>
      <c r="FO707" s="9"/>
      <c r="FP707" s="9"/>
      <c r="FQ707" s="9"/>
      <c r="FR707" s="9"/>
      <c r="FS707" s="9"/>
      <c r="FT707" s="9"/>
      <c r="FU707" s="9"/>
      <c r="FV707" s="9"/>
      <c r="FW707" s="9"/>
      <c r="FX707" s="9"/>
      <c r="FY707" s="9"/>
      <c r="FZ707" s="9"/>
      <c r="GA707" s="9"/>
      <c r="GB707" s="9"/>
      <c r="GC707" s="9"/>
      <c r="GD707" s="9"/>
      <c r="GE707" s="9"/>
      <c r="GF707" s="9"/>
      <c r="GG707" s="9"/>
      <c r="GH707" s="9"/>
      <c r="GI707" s="9"/>
      <c r="GJ707" s="9"/>
      <c r="GK707" s="9"/>
      <c r="GL707" s="9"/>
      <c r="GM707" s="9"/>
      <c r="GN707" s="9"/>
      <c r="GO707" s="9"/>
      <c r="GP707" s="9"/>
      <c r="GQ707" s="9"/>
    </row>
    <row r="708" spans="2:199" ht="15"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  <c r="EH708" s="9"/>
      <c r="EI708" s="9"/>
      <c r="EJ708" s="9"/>
      <c r="EK708" s="9"/>
      <c r="EL708" s="9"/>
      <c r="EM708" s="9"/>
      <c r="EN708" s="9"/>
      <c r="EO708" s="9"/>
      <c r="EP708" s="9"/>
      <c r="EQ708" s="9"/>
      <c r="ER708" s="9"/>
      <c r="ES708" s="9"/>
      <c r="ET708" s="9"/>
      <c r="EU708" s="9"/>
      <c r="EV708" s="9"/>
      <c r="EW708" s="9"/>
      <c r="EX708" s="9"/>
      <c r="EY708" s="9"/>
      <c r="EZ708" s="9"/>
      <c r="FA708" s="9"/>
      <c r="FB708" s="9"/>
      <c r="FC708" s="9"/>
      <c r="FD708" s="9"/>
      <c r="FE708" s="9"/>
      <c r="FF708" s="9"/>
      <c r="FG708" s="9"/>
      <c r="FH708" s="9"/>
      <c r="FI708" s="9"/>
      <c r="FJ708" s="9"/>
      <c r="FK708" s="9"/>
      <c r="FL708" s="9"/>
      <c r="FM708" s="9"/>
      <c r="FN708" s="9"/>
      <c r="FO708" s="9"/>
      <c r="FP708" s="9"/>
      <c r="FQ708" s="9"/>
      <c r="FR708" s="9"/>
      <c r="FS708" s="9"/>
      <c r="FT708" s="9"/>
      <c r="FU708" s="9"/>
      <c r="FV708" s="9"/>
      <c r="FW708" s="9"/>
      <c r="FX708" s="9"/>
      <c r="FY708" s="9"/>
      <c r="FZ708" s="9"/>
      <c r="GA708" s="9"/>
      <c r="GB708" s="9"/>
      <c r="GC708" s="9"/>
      <c r="GD708" s="9"/>
      <c r="GE708" s="9"/>
      <c r="GF708" s="9"/>
      <c r="GG708" s="9"/>
      <c r="GH708" s="9"/>
      <c r="GI708" s="9"/>
      <c r="GJ708" s="9"/>
      <c r="GK708" s="9"/>
      <c r="GL708" s="9"/>
      <c r="GM708" s="9"/>
      <c r="GN708" s="9"/>
      <c r="GO708" s="9"/>
      <c r="GP708" s="9"/>
      <c r="GQ708" s="9"/>
    </row>
    <row r="709" spans="2:199" ht="15"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  <c r="EF709" s="9"/>
      <c r="EG709" s="9"/>
      <c r="EH709" s="9"/>
      <c r="EI709" s="9"/>
      <c r="EJ709" s="9"/>
      <c r="EK709" s="9"/>
      <c r="EL709" s="9"/>
      <c r="EM709" s="9"/>
      <c r="EN709" s="9"/>
      <c r="EO709" s="9"/>
      <c r="EP709" s="9"/>
      <c r="EQ709" s="9"/>
      <c r="ER709" s="9"/>
      <c r="ES709" s="9"/>
      <c r="ET709" s="9"/>
      <c r="EU709" s="9"/>
      <c r="EV709" s="9"/>
      <c r="EW709" s="9"/>
      <c r="EX709" s="9"/>
      <c r="EY709" s="9"/>
      <c r="EZ709" s="9"/>
      <c r="FA709" s="9"/>
      <c r="FB709" s="9"/>
      <c r="FC709" s="9"/>
      <c r="FD709" s="9"/>
      <c r="FE709" s="9"/>
      <c r="FF709" s="9"/>
      <c r="FG709" s="9"/>
      <c r="FH709" s="9"/>
      <c r="FI709" s="9"/>
      <c r="FJ709" s="9"/>
      <c r="FK709" s="9"/>
      <c r="FL709" s="9"/>
      <c r="FM709" s="9"/>
      <c r="FN709" s="9"/>
      <c r="FO709" s="9"/>
      <c r="FP709" s="9"/>
      <c r="FQ709" s="9"/>
      <c r="FR709" s="9"/>
      <c r="FS709" s="9"/>
      <c r="FT709" s="9"/>
      <c r="FU709" s="9"/>
      <c r="FV709" s="9"/>
      <c r="FW709" s="9"/>
      <c r="FX709" s="9"/>
      <c r="FY709" s="9"/>
      <c r="FZ709" s="9"/>
      <c r="GA709" s="9"/>
      <c r="GB709" s="9"/>
      <c r="GC709" s="9"/>
      <c r="GD709" s="9"/>
      <c r="GE709" s="9"/>
      <c r="GF709" s="9"/>
      <c r="GG709" s="9"/>
      <c r="GH709" s="9"/>
      <c r="GI709" s="9"/>
      <c r="GJ709" s="9"/>
      <c r="GK709" s="9"/>
      <c r="GL709" s="9"/>
      <c r="GM709" s="9"/>
      <c r="GN709" s="9"/>
      <c r="GO709" s="9"/>
      <c r="GP709" s="9"/>
      <c r="GQ709" s="9"/>
    </row>
    <row r="710" spans="2:199" ht="15"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  <c r="EH710" s="9"/>
      <c r="EI710" s="9"/>
      <c r="EJ710" s="9"/>
      <c r="EK710" s="9"/>
      <c r="EL710" s="9"/>
      <c r="EM710" s="9"/>
      <c r="EN710" s="9"/>
      <c r="EO710" s="9"/>
      <c r="EP710" s="9"/>
      <c r="EQ710" s="9"/>
      <c r="ER710" s="9"/>
      <c r="ES710" s="9"/>
      <c r="ET710" s="9"/>
      <c r="EU710" s="9"/>
      <c r="EV710" s="9"/>
      <c r="EW710" s="9"/>
      <c r="EX710" s="9"/>
      <c r="EY710" s="9"/>
      <c r="EZ710" s="9"/>
      <c r="FA710" s="9"/>
      <c r="FB710" s="9"/>
      <c r="FC710" s="9"/>
      <c r="FD710" s="9"/>
      <c r="FE710" s="9"/>
      <c r="FF710" s="9"/>
      <c r="FG710" s="9"/>
      <c r="FH710" s="9"/>
      <c r="FI710" s="9"/>
      <c r="FJ710" s="9"/>
      <c r="FK710" s="9"/>
      <c r="FL710" s="9"/>
      <c r="FM710" s="9"/>
      <c r="FN710" s="9"/>
      <c r="FO710" s="9"/>
      <c r="FP710" s="9"/>
      <c r="FQ710" s="9"/>
      <c r="FR710" s="9"/>
      <c r="FS710" s="9"/>
      <c r="FT710" s="9"/>
      <c r="FU710" s="9"/>
      <c r="FV710" s="9"/>
      <c r="FW710" s="9"/>
      <c r="FX710" s="9"/>
      <c r="FY710" s="9"/>
      <c r="FZ710" s="9"/>
      <c r="GA710" s="9"/>
      <c r="GB710" s="9"/>
      <c r="GC710" s="9"/>
      <c r="GD710" s="9"/>
      <c r="GE710" s="9"/>
      <c r="GF710" s="9"/>
      <c r="GG710" s="9"/>
      <c r="GH710" s="9"/>
      <c r="GI710" s="9"/>
      <c r="GJ710" s="9"/>
      <c r="GK710" s="9"/>
      <c r="GL710" s="9"/>
      <c r="GM710" s="9"/>
      <c r="GN710" s="9"/>
      <c r="GO710" s="9"/>
      <c r="GP710" s="9"/>
      <c r="GQ710" s="9"/>
    </row>
    <row r="711" spans="2:199" ht="15"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  <c r="EP711" s="9"/>
      <c r="EQ711" s="9"/>
      <c r="ER711" s="9"/>
      <c r="ES711" s="9"/>
      <c r="ET711" s="9"/>
      <c r="EU711" s="9"/>
      <c r="EV711" s="9"/>
      <c r="EW711" s="9"/>
      <c r="EX711" s="9"/>
      <c r="EY711" s="9"/>
      <c r="EZ711" s="9"/>
      <c r="FA711" s="9"/>
      <c r="FB711" s="9"/>
      <c r="FC711" s="9"/>
      <c r="FD711" s="9"/>
      <c r="FE711" s="9"/>
      <c r="FF711" s="9"/>
      <c r="FG711" s="9"/>
      <c r="FH711" s="9"/>
      <c r="FI711" s="9"/>
      <c r="FJ711" s="9"/>
      <c r="FK711" s="9"/>
      <c r="FL711" s="9"/>
      <c r="FM711" s="9"/>
      <c r="FN711" s="9"/>
      <c r="FO711" s="9"/>
      <c r="FP711" s="9"/>
      <c r="FQ711" s="9"/>
      <c r="FR711" s="9"/>
      <c r="FS711" s="9"/>
      <c r="FT711" s="9"/>
      <c r="FU711" s="9"/>
      <c r="FV711" s="9"/>
      <c r="FW711" s="9"/>
      <c r="FX711" s="9"/>
      <c r="FY711" s="9"/>
      <c r="FZ711" s="9"/>
      <c r="GA711" s="9"/>
      <c r="GB711" s="9"/>
      <c r="GC711" s="9"/>
      <c r="GD711" s="9"/>
      <c r="GE711" s="9"/>
      <c r="GF711" s="9"/>
      <c r="GG711" s="9"/>
      <c r="GH711" s="9"/>
      <c r="GI711" s="9"/>
      <c r="GJ711" s="9"/>
      <c r="GK711" s="9"/>
      <c r="GL711" s="9"/>
      <c r="GM711" s="9"/>
      <c r="GN711" s="9"/>
      <c r="GO711" s="9"/>
      <c r="GP711" s="9"/>
      <c r="GQ711" s="9"/>
    </row>
    <row r="712" spans="2:199" ht="15"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  <c r="EH712" s="9"/>
      <c r="EI712" s="9"/>
      <c r="EJ712" s="9"/>
      <c r="EK712" s="9"/>
      <c r="EL712" s="9"/>
      <c r="EM712" s="9"/>
      <c r="EN712" s="9"/>
      <c r="EO712" s="9"/>
      <c r="EP712" s="9"/>
      <c r="EQ712" s="9"/>
      <c r="ER712" s="9"/>
      <c r="ES712" s="9"/>
      <c r="ET712" s="9"/>
      <c r="EU712" s="9"/>
      <c r="EV712" s="9"/>
      <c r="EW712" s="9"/>
      <c r="EX712" s="9"/>
      <c r="EY712" s="9"/>
      <c r="EZ712" s="9"/>
      <c r="FA712" s="9"/>
      <c r="FB712" s="9"/>
      <c r="FC712" s="9"/>
      <c r="FD712" s="9"/>
      <c r="FE712" s="9"/>
      <c r="FF712" s="9"/>
      <c r="FG712" s="9"/>
      <c r="FH712" s="9"/>
      <c r="FI712" s="9"/>
      <c r="FJ712" s="9"/>
      <c r="FK712" s="9"/>
      <c r="FL712" s="9"/>
      <c r="FM712" s="9"/>
      <c r="FN712" s="9"/>
      <c r="FO712" s="9"/>
      <c r="FP712" s="9"/>
      <c r="FQ712" s="9"/>
      <c r="FR712" s="9"/>
      <c r="FS712" s="9"/>
      <c r="FT712" s="9"/>
      <c r="FU712" s="9"/>
      <c r="FV712" s="9"/>
      <c r="FW712" s="9"/>
      <c r="FX712" s="9"/>
      <c r="FY712" s="9"/>
      <c r="FZ712" s="9"/>
      <c r="GA712" s="9"/>
      <c r="GB712" s="9"/>
      <c r="GC712" s="9"/>
      <c r="GD712" s="9"/>
      <c r="GE712" s="9"/>
      <c r="GF712" s="9"/>
      <c r="GG712" s="9"/>
      <c r="GH712" s="9"/>
      <c r="GI712" s="9"/>
      <c r="GJ712" s="9"/>
      <c r="GK712" s="9"/>
      <c r="GL712" s="9"/>
      <c r="GM712" s="9"/>
      <c r="GN712" s="9"/>
      <c r="GO712" s="9"/>
      <c r="GP712" s="9"/>
      <c r="GQ712" s="9"/>
    </row>
    <row r="713" spans="2:199" ht="15"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  <c r="EQ713" s="9"/>
      <c r="ER713" s="9"/>
      <c r="ES713" s="9"/>
      <c r="ET713" s="9"/>
      <c r="EU713" s="9"/>
      <c r="EV713" s="9"/>
      <c r="EW713" s="9"/>
      <c r="EX713" s="9"/>
      <c r="EY713" s="9"/>
      <c r="EZ713" s="9"/>
      <c r="FA713" s="9"/>
      <c r="FB713" s="9"/>
      <c r="FC713" s="9"/>
      <c r="FD713" s="9"/>
      <c r="FE713" s="9"/>
      <c r="FF713" s="9"/>
      <c r="FG713" s="9"/>
      <c r="FH713" s="9"/>
      <c r="FI713" s="9"/>
      <c r="FJ713" s="9"/>
      <c r="FK713" s="9"/>
      <c r="FL713" s="9"/>
      <c r="FM713" s="9"/>
      <c r="FN713" s="9"/>
      <c r="FO713" s="9"/>
      <c r="FP713" s="9"/>
      <c r="FQ713" s="9"/>
      <c r="FR713" s="9"/>
      <c r="FS713" s="9"/>
      <c r="FT713" s="9"/>
      <c r="FU713" s="9"/>
      <c r="FV713" s="9"/>
      <c r="FW713" s="9"/>
      <c r="FX713" s="9"/>
      <c r="FY713" s="9"/>
      <c r="FZ713" s="9"/>
      <c r="GA713" s="9"/>
      <c r="GB713" s="9"/>
      <c r="GC713" s="9"/>
      <c r="GD713" s="9"/>
      <c r="GE713" s="9"/>
      <c r="GF713" s="9"/>
      <c r="GG713" s="9"/>
      <c r="GH713" s="9"/>
      <c r="GI713" s="9"/>
      <c r="GJ713" s="9"/>
      <c r="GK713" s="9"/>
      <c r="GL713" s="9"/>
      <c r="GM713" s="9"/>
      <c r="GN713" s="9"/>
      <c r="GO713" s="9"/>
      <c r="GP713" s="9"/>
      <c r="GQ713" s="9"/>
    </row>
    <row r="714" spans="2:199" ht="15"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  <c r="EI714" s="9"/>
      <c r="EJ714" s="9"/>
      <c r="EK714" s="9"/>
      <c r="EL714" s="9"/>
      <c r="EM714" s="9"/>
      <c r="EN714" s="9"/>
      <c r="EO714" s="9"/>
      <c r="EP714" s="9"/>
      <c r="EQ714" s="9"/>
      <c r="ER714" s="9"/>
      <c r="ES714" s="9"/>
      <c r="ET714" s="9"/>
      <c r="EU714" s="9"/>
      <c r="EV714" s="9"/>
      <c r="EW714" s="9"/>
      <c r="EX714" s="9"/>
      <c r="EY714" s="9"/>
      <c r="EZ714" s="9"/>
      <c r="FA714" s="9"/>
      <c r="FB714" s="9"/>
      <c r="FC714" s="9"/>
      <c r="FD714" s="9"/>
      <c r="FE714" s="9"/>
      <c r="FF714" s="9"/>
      <c r="FG714" s="9"/>
      <c r="FH714" s="9"/>
      <c r="FI714" s="9"/>
      <c r="FJ714" s="9"/>
      <c r="FK714" s="9"/>
      <c r="FL714" s="9"/>
      <c r="FM714" s="9"/>
      <c r="FN714" s="9"/>
      <c r="FO714" s="9"/>
      <c r="FP714" s="9"/>
      <c r="FQ714" s="9"/>
      <c r="FR714" s="9"/>
      <c r="FS714" s="9"/>
      <c r="FT714" s="9"/>
      <c r="FU714" s="9"/>
      <c r="FV714" s="9"/>
      <c r="FW714" s="9"/>
      <c r="FX714" s="9"/>
      <c r="FY714" s="9"/>
      <c r="FZ714" s="9"/>
      <c r="GA714" s="9"/>
      <c r="GB714" s="9"/>
      <c r="GC714" s="9"/>
      <c r="GD714" s="9"/>
      <c r="GE714" s="9"/>
      <c r="GF714" s="9"/>
      <c r="GG714" s="9"/>
      <c r="GH714" s="9"/>
      <c r="GI714" s="9"/>
      <c r="GJ714" s="9"/>
      <c r="GK714" s="9"/>
      <c r="GL714" s="9"/>
      <c r="GM714" s="9"/>
      <c r="GN714" s="9"/>
      <c r="GO714" s="9"/>
      <c r="GP714" s="9"/>
      <c r="GQ714" s="9"/>
    </row>
    <row r="715" spans="2:199" ht="15"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  <c r="EP715" s="9"/>
      <c r="EQ715" s="9"/>
      <c r="ER715" s="9"/>
      <c r="ES715" s="9"/>
      <c r="ET715" s="9"/>
      <c r="EU715" s="9"/>
      <c r="EV715" s="9"/>
      <c r="EW715" s="9"/>
      <c r="EX715" s="9"/>
      <c r="EY715" s="9"/>
      <c r="EZ715" s="9"/>
      <c r="FA715" s="9"/>
      <c r="FB715" s="9"/>
      <c r="FC715" s="9"/>
      <c r="FD715" s="9"/>
      <c r="FE715" s="9"/>
      <c r="FF715" s="9"/>
      <c r="FG715" s="9"/>
      <c r="FH715" s="9"/>
      <c r="FI715" s="9"/>
      <c r="FJ715" s="9"/>
      <c r="FK715" s="9"/>
      <c r="FL715" s="9"/>
      <c r="FM715" s="9"/>
      <c r="FN715" s="9"/>
      <c r="FO715" s="9"/>
      <c r="FP715" s="9"/>
      <c r="FQ715" s="9"/>
      <c r="FR715" s="9"/>
      <c r="FS715" s="9"/>
      <c r="FT715" s="9"/>
      <c r="FU715" s="9"/>
      <c r="FV715" s="9"/>
      <c r="FW715" s="9"/>
      <c r="FX715" s="9"/>
      <c r="FY715" s="9"/>
      <c r="FZ715" s="9"/>
      <c r="GA715" s="9"/>
      <c r="GB715" s="9"/>
      <c r="GC715" s="9"/>
      <c r="GD715" s="9"/>
      <c r="GE715" s="9"/>
      <c r="GF715" s="9"/>
      <c r="GG715" s="9"/>
      <c r="GH715" s="9"/>
      <c r="GI715" s="9"/>
      <c r="GJ715" s="9"/>
      <c r="GK715" s="9"/>
      <c r="GL715" s="9"/>
      <c r="GM715" s="9"/>
      <c r="GN715" s="9"/>
      <c r="GO715" s="9"/>
      <c r="GP715" s="9"/>
      <c r="GQ715" s="9"/>
    </row>
    <row r="716" spans="2:199" ht="15"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  <c r="ER716" s="9"/>
      <c r="ES716" s="9"/>
      <c r="ET716" s="9"/>
      <c r="EU716" s="9"/>
      <c r="EV716" s="9"/>
      <c r="EW716" s="9"/>
      <c r="EX716" s="9"/>
      <c r="EY716" s="9"/>
      <c r="EZ716" s="9"/>
      <c r="FA716" s="9"/>
      <c r="FB716" s="9"/>
      <c r="FC716" s="9"/>
      <c r="FD716" s="9"/>
      <c r="FE716" s="9"/>
      <c r="FF716" s="9"/>
      <c r="FG716" s="9"/>
      <c r="FH716" s="9"/>
      <c r="FI716" s="9"/>
      <c r="FJ716" s="9"/>
      <c r="FK716" s="9"/>
      <c r="FL716" s="9"/>
      <c r="FM716" s="9"/>
      <c r="FN716" s="9"/>
      <c r="FO716" s="9"/>
      <c r="FP716" s="9"/>
      <c r="FQ716" s="9"/>
      <c r="FR716" s="9"/>
      <c r="FS716" s="9"/>
      <c r="FT716" s="9"/>
      <c r="FU716" s="9"/>
      <c r="FV716" s="9"/>
      <c r="FW716" s="9"/>
      <c r="FX716" s="9"/>
      <c r="FY716" s="9"/>
      <c r="FZ716" s="9"/>
      <c r="GA716" s="9"/>
      <c r="GB716" s="9"/>
      <c r="GC716" s="9"/>
      <c r="GD716" s="9"/>
      <c r="GE716" s="9"/>
      <c r="GF716" s="9"/>
      <c r="GG716" s="9"/>
      <c r="GH716" s="9"/>
      <c r="GI716" s="9"/>
      <c r="GJ716" s="9"/>
      <c r="GK716" s="9"/>
      <c r="GL716" s="9"/>
      <c r="GM716" s="9"/>
      <c r="GN716" s="9"/>
      <c r="GO716" s="9"/>
      <c r="GP716" s="9"/>
      <c r="GQ716" s="9"/>
    </row>
    <row r="717" spans="2:199" ht="15"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  <c r="EP717" s="9"/>
      <c r="EQ717" s="9"/>
      <c r="ER717" s="9"/>
      <c r="ES717" s="9"/>
      <c r="ET717" s="9"/>
      <c r="EU717" s="9"/>
      <c r="EV717" s="9"/>
      <c r="EW717" s="9"/>
      <c r="EX717" s="9"/>
      <c r="EY717" s="9"/>
      <c r="EZ717" s="9"/>
      <c r="FA717" s="9"/>
      <c r="FB717" s="9"/>
      <c r="FC717" s="9"/>
      <c r="FD717" s="9"/>
      <c r="FE717" s="9"/>
      <c r="FF717" s="9"/>
      <c r="FG717" s="9"/>
      <c r="FH717" s="9"/>
      <c r="FI717" s="9"/>
      <c r="FJ717" s="9"/>
      <c r="FK717" s="9"/>
      <c r="FL717" s="9"/>
      <c r="FM717" s="9"/>
      <c r="FN717" s="9"/>
      <c r="FO717" s="9"/>
      <c r="FP717" s="9"/>
      <c r="FQ717" s="9"/>
      <c r="FR717" s="9"/>
      <c r="FS717" s="9"/>
      <c r="FT717" s="9"/>
      <c r="FU717" s="9"/>
      <c r="FV717" s="9"/>
      <c r="FW717" s="9"/>
      <c r="FX717" s="9"/>
      <c r="FY717" s="9"/>
      <c r="FZ717" s="9"/>
      <c r="GA717" s="9"/>
      <c r="GB717" s="9"/>
      <c r="GC717" s="9"/>
      <c r="GD717" s="9"/>
      <c r="GE717" s="9"/>
      <c r="GF717" s="9"/>
      <c r="GG717" s="9"/>
      <c r="GH717" s="9"/>
      <c r="GI717" s="9"/>
      <c r="GJ717" s="9"/>
      <c r="GK717" s="9"/>
      <c r="GL717" s="9"/>
      <c r="GM717" s="9"/>
      <c r="GN717" s="9"/>
      <c r="GO717" s="9"/>
      <c r="GP717" s="9"/>
      <c r="GQ717" s="9"/>
    </row>
    <row r="718" spans="2:199" ht="15"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  <c r="ER718" s="9"/>
      <c r="ES718" s="9"/>
      <c r="ET718" s="9"/>
      <c r="EU718" s="9"/>
      <c r="EV718" s="9"/>
      <c r="EW718" s="9"/>
      <c r="EX718" s="9"/>
      <c r="EY718" s="9"/>
      <c r="EZ718" s="9"/>
      <c r="FA718" s="9"/>
      <c r="FB718" s="9"/>
      <c r="FC718" s="9"/>
      <c r="FD718" s="9"/>
      <c r="FE718" s="9"/>
      <c r="FF718" s="9"/>
      <c r="FG718" s="9"/>
      <c r="FH718" s="9"/>
      <c r="FI718" s="9"/>
      <c r="FJ718" s="9"/>
      <c r="FK718" s="9"/>
      <c r="FL718" s="9"/>
      <c r="FM718" s="9"/>
      <c r="FN718" s="9"/>
      <c r="FO718" s="9"/>
      <c r="FP718" s="9"/>
      <c r="FQ718" s="9"/>
      <c r="FR718" s="9"/>
      <c r="FS718" s="9"/>
      <c r="FT718" s="9"/>
      <c r="FU718" s="9"/>
      <c r="FV718" s="9"/>
      <c r="FW718" s="9"/>
      <c r="FX718" s="9"/>
      <c r="FY718" s="9"/>
      <c r="FZ718" s="9"/>
      <c r="GA718" s="9"/>
      <c r="GB718" s="9"/>
      <c r="GC718" s="9"/>
      <c r="GD718" s="9"/>
      <c r="GE718" s="9"/>
      <c r="GF718" s="9"/>
      <c r="GG718" s="9"/>
      <c r="GH718" s="9"/>
      <c r="GI718" s="9"/>
      <c r="GJ718" s="9"/>
      <c r="GK718" s="9"/>
      <c r="GL718" s="9"/>
      <c r="GM718" s="9"/>
      <c r="GN718" s="9"/>
      <c r="GO718" s="9"/>
      <c r="GP718" s="9"/>
      <c r="GQ718" s="9"/>
    </row>
    <row r="719" spans="2:199" ht="15"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  <c r="EP719" s="9"/>
      <c r="EQ719" s="9"/>
      <c r="ER719" s="9"/>
      <c r="ES719" s="9"/>
      <c r="ET719" s="9"/>
      <c r="EU719" s="9"/>
      <c r="EV719" s="9"/>
      <c r="EW719" s="9"/>
      <c r="EX719" s="9"/>
      <c r="EY719" s="9"/>
      <c r="EZ719" s="9"/>
      <c r="FA719" s="9"/>
      <c r="FB719" s="9"/>
      <c r="FC719" s="9"/>
      <c r="FD719" s="9"/>
      <c r="FE719" s="9"/>
      <c r="FF719" s="9"/>
      <c r="FG719" s="9"/>
      <c r="FH719" s="9"/>
      <c r="FI719" s="9"/>
      <c r="FJ719" s="9"/>
      <c r="FK719" s="9"/>
      <c r="FL719" s="9"/>
      <c r="FM719" s="9"/>
      <c r="FN719" s="9"/>
      <c r="FO719" s="9"/>
      <c r="FP719" s="9"/>
      <c r="FQ719" s="9"/>
      <c r="FR719" s="9"/>
      <c r="FS719" s="9"/>
      <c r="FT719" s="9"/>
      <c r="FU719" s="9"/>
      <c r="FV719" s="9"/>
      <c r="FW719" s="9"/>
      <c r="FX719" s="9"/>
      <c r="FY719" s="9"/>
      <c r="FZ719" s="9"/>
      <c r="GA719" s="9"/>
      <c r="GB719" s="9"/>
      <c r="GC719" s="9"/>
      <c r="GD719" s="9"/>
      <c r="GE719" s="9"/>
      <c r="GF719" s="9"/>
      <c r="GG719" s="9"/>
      <c r="GH719" s="9"/>
      <c r="GI719" s="9"/>
      <c r="GJ719" s="9"/>
      <c r="GK719" s="9"/>
      <c r="GL719" s="9"/>
      <c r="GM719" s="9"/>
      <c r="GN719" s="9"/>
      <c r="GO719" s="9"/>
      <c r="GP719" s="9"/>
      <c r="GQ719" s="9"/>
    </row>
    <row r="720" spans="2:199" ht="15"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  <c r="EO720" s="9"/>
      <c r="EP720" s="9"/>
      <c r="EQ720" s="9"/>
      <c r="ER720" s="9"/>
      <c r="ES720" s="9"/>
      <c r="ET720" s="9"/>
      <c r="EU720" s="9"/>
      <c r="EV720" s="9"/>
      <c r="EW720" s="9"/>
      <c r="EX720" s="9"/>
      <c r="EY720" s="9"/>
      <c r="EZ720" s="9"/>
      <c r="FA720" s="9"/>
      <c r="FB720" s="9"/>
      <c r="FC720" s="9"/>
      <c r="FD720" s="9"/>
      <c r="FE720" s="9"/>
      <c r="FF720" s="9"/>
      <c r="FG720" s="9"/>
      <c r="FH720" s="9"/>
      <c r="FI720" s="9"/>
      <c r="FJ720" s="9"/>
      <c r="FK720" s="9"/>
      <c r="FL720" s="9"/>
      <c r="FM720" s="9"/>
      <c r="FN720" s="9"/>
      <c r="FO720" s="9"/>
      <c r="FP720" s="9"/>
      <c r="FQ720" s="9"/>
      <c r="FR720" s="9"/>
      <c r="FS720" s="9"/>
      <c r="FT720" s="9"/>
      <c r="FU720" s="9"/>
      <c r="FV720" s="9"/>
      <c r="FW720" s="9"/>
      <c r="FX720" s="9"/>
      <c r="FY720" s="9"/>
      <c r="FZ720" s="9"/>
      <c r="GA720" s="9"/>
      <c r="GB720" s="9"/>
      <c r="GC720" s="9"/>
      <c r="GD720" s="9"/>
      <c r="GE720" s="9"/>
      <c r="GF720" s="9"/>
      <c r="GG720" s="9"/>
      <c r="GH720" s="9"/>
      <c r="GI720" s="9"/>
      <c r="GJ720" s="9"/>
      <c r="GK720" s="9"/>
      <c r="GL720" s="9"/>
      <c r="GM720" s="9"/>
      <c r="GN720" s="9"/>
      <c r="GO720" s="9"/>
      <c r="GP720" s="9"/>
      <c r="GQ720" s="9"/>
    </row>
    <row r="721" spans="2:199" ht="15"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  <c r="EM721" s="9"/>
      <c r="EN721" s="9"/>
      <c r="EO721" s="9"/>
      <c r="EP721" s="9"/>
      <c r="EQ721" s="9"/>
      <c r="ER721" s="9"/>
      <c r="ES721" s="9"/>
      <c r="ET721" s="9"/>
      <c r="EU721" s="9"/>
      <c r="EV721" s="9"/>
      <c r="EW721" s="9"/>
      <c r="EX721" s="9"/>
      <c r="EY721" s="9"/>
      <c r="EZ721" s="9"/>
      <c r="FA721" s="9"/>
      <c r="FB721" s="9"/>
      <c r="FC721" s="9"/>
      <c r="FD721" s="9"/>
      <c r="FE721" s="9"/>
      <c r="FF721" s="9"/>
      <c r="FG721" s="9"/>
      <c r="FH721" s="9"/>
      <c r="FI721" s="9"/>
      <c r="FJ721" s="9"/>
      <c r="FK721" s="9"/>
      <c r="FL721" s="9"/>
      <c r="FM721" s="9"/>
      <c r="FN721" s="9"/>
      <c r="FO721" s="9"/>
      <c r="FP721" s="9"/>
      <c r="FQ721" s="9"/>
      <c r="FR721" s="9"/>
      <c r="FS721" s="9"/>
      <c r="FT721" s="9"/>
      <c r="FU721" s="9"/>
      <c r="FV721" s="9"/>
      <c r="FW721" s="9"/>
      <c r="FX721" s="9"/>
      <c r="FY721" s="9"/>
      <c r="FZ721" s="9"/>
      <c r="GA721" s="9"/>
      <c r="GB721" s="9"/>
      <c r="GC721" s="9"/>
      <c r="GD721" s="9"/>
      <c r="GE721" s="9"/>
      <c r="GF721" s="9"/>
      <c r="GG721" s="9"/>
      <c r="GH721" s="9"/>
      <c r="GI721" s="9"/>
      <c r="GJ721" s="9"/>
      <c r="GK721" s="9"/>
      <c r="GL721" s="9"/>
      <c r="GM721" s="9"/>
      <c r="GN721" s="9"/>
      <c r="GO721" s="9"/>
      <c r="GP721" s="9"/>
      <c r="GQ721" s="9"/>
    </row>
    <row r="722" spans="2:199" ht="15"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  <c r="EM722" s="9"/>
      <c r="EN722" s="9"/>
      <c r="EO722" s="9"/>
      <c r="EP722" s="9"/>
      <c r="EQ722" s="9"/>
      <c r="ER722" s="9"/>
      <c r="ES722" s="9"/>
      <c r="ET722" s="9"/>
      <c r="EU722" s="9"/>
      <c r="EV722" s="9"/>
      <c r="EW722" s="9"/>
      <c r="EX722" s="9"/>
      <c r="EY722" s="9"/>
      <c r="EZ722" s="9"/>
      <c r="FA722" s="9"/>
      <c r="FB722" s="9"/>
      <c r="FC722" s="9"/>
      <c r="FD722" s="9"/>
      <c r="FE722" s="9"/>
      <c r="FF722" s="9"/>
      <c r="FG722" s="9"/>
      <c r="FH722" s="9"/>
      <c r="FI722" s="9"/>
      <c r="FJ722" s="9"/>
      <c r="FK722" s="9"/>
      <c r="FL722" s="9"/>
      <c r="FM722" s="9"/>
      <c r="FN722" s="9"/>
      <c r="FO722" s="9"/>
      <c r="FP722" s="9"/>
      <c r="FQ722" s="9"/>
      <c r="FR722" s="9"/>
      <c r="FS722" s="9"/>
      <c r="FT722" s="9"/>
      <c r="FU722" s="9"/>
      <c r="FV722" s="9"/>
      <c r="FW722" s="9"/>
      <c r="FX722" s="9"/>
      <c r="FY722" s="9"/>
      <c r="FZ722" s="9"/>
      <c r="GA722" s="9"/>
      <c r="GB722" s="9"/>
      <c r="GC722" s="9"/>
      <c r="GD722" s="9"/>
      <c r="GE722" s="9"/>
      <c r="GF722" s="9"/>
      <c r="GG722" s="9"/>
      <c r="GH722" s="9"/>
      <c r="GI722" s="9"/>
      <c r="GJ722" s="9"/>
      <c r="GK722" s="9"/>
      <c r="GL722" s="9"/>
      <c r="GM722" s="9"/>
      <c r="GN722" s="9"/>
      <c r="GO722" s="9"/>
      <c r="GP722" s="9"/>
      <c r="GQ722" s="9"/>
    </row>
    <row r="723" spans="2:199" ht="15"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  <c r="EH723" s="9"/>
      <c r="EI723" s="9"/>
      <c r="EJ723" s="9"/>
      <c r="EK723" s="9"/>
      <c r="EL723" s="9"/>
      <c r="EM723" s="9"/>
      <c r="EN723" s="9"/>
      <c r="EO723" s="9"/>
      <c r="EP723" s="9"/>
      <c r="EQ723" s="9"/>
      <c r="ER723" s="9"/>
      <c r="ES723" s="9"/>
      <c r="ET723" s="9"/>
      <c r="EU723" s="9"/>
      <c r="EV723" s="9"/>
      <c r="EW723" s="9"/>
      <c r="EX723" s="9"/>
      <c r="EY723" s="9"/>
      <c r="EZ723" s="9"/>
      <c r="FA723" s="9"/>
      <c r="FB723" s="9"/>
      <c r="FC723" s="9"/>
      <c r="FD723" s="9"/>
      <c r="FE723" s="9"/>
      <c r="FF723" s="9"/>
      <c r="FG723" s="9"/>
      <c r="FH723" s="9"/>
      <c r="FI723" s="9"/>
      <c r="FJ723" s="9"/>
      <c r="FK723" s="9"/>
      <c r="FL723" s="9"/>
      <c r="FM723" s="9"/>
      <c r="FN723" s="9"/>
      <c r="FO723" s="9"/>
      <c r="FP723" s="9"/>
      <c r="FQ723" s="9"/>
      <c r="FR723" s="9"/>
      <c r="FS723" s="9"/>
      <c r="FT723" s="9"/>
      <c r="FU723" s="9"/>
      <c r="FV723" s="9"/>
      <c r="FW723" s="9"/>
      <c r="FX723" s="9"/>
      <c r="FY723" s="9"/>
      <c r="FZ723" s="9"/>
      <c r="GA723" s="9"/>
      <c r="GB723" s="9"/>
      <c r="GC723" s="9"/>
      <c r="GD723" s="9"/>
      <c r="GE723" s="9"/>
      <c r="GF723" s="9"/>
      <c r="GG723" s="9"/>
      <c r="GH723" s="9"/>
      <c r="GI723" s="9"/>
      <c r="GJ723" s="9"/>
      <c r="GK723" s="9"/>
      <c r="GL723" s="9"/>
      <c r="GM723" s="9"/>
      <c r="GN723" s="9"/>
      <c r="GO723" s="9"/>
      <c r="GP723" s="9"/>
      <c r="GQ723" s="9"/>
    </row>
    <row r="724" spans="2:199" ht="15"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  <c r="EI724" s="9"/>
      <c r="EJ724" s="9"/>
      <c r="EK724" s="9"/>
      <c r="EL724" s="9"/>
      <c r="EM724" s="9"/>
      <c r="EN724" s="9"/>
      <c r="EO724" s="9"/>
      <c r="EP724" s="9"/>
      <c r="EQ724" s="9"/>
      <c r="ER724" s="9"/>
      <c r="ES724" s="9"/>
      <c r="ET724" s="9"/>
      <c r="EU724" s="9"/>
      <c r="EV724" s="9"/>
      <c r="EW724" s="9"/>
      <c r="EX724" s="9"/>
      <c r="EY724" s="9"/>
      <c r="EZ724" s="9"/>
      <c r="FA724" s="9"/>
      <c r="FB724" s="9"/>
      <c r="FC724" s="9"/>
      <c r="FD724" s="9"/>
      <c r="FE724" s="9"/>
      <c r="FF724" s="9"/>
      <c r="FG724" s="9"/>
      <c r="FH724" s="9"/>
      <c r="FI724" s="9"/>
      <c r="FJ724" s="9"/>
      <c r="FK724" s="9"/>
      <c r="FL724" s="9"/>
      <c r="FM724" s="9"/>
      <c r="FN724" s="9"/>
      <c r="FO724" s="9"/>
      <c r="FP724" s="9"/>
      <c r="FQ724" s="9"/>
      <c r="FR724" s="9"/>
      <c r="FS724" s="9"/>
      <c r="FT724" s="9"/>
      <c r="FU724" s="9"/>
      <c r="FV724" s="9"/>
      <c r="FW724" s="9"/>
      <c r="FX724" s="9"/>
      <c r="FY724" s="9"/>
      <c r="FZ724" s="9"/>
      <c r="GA724" s="9"/>
      <c r="GB724" s="9"/>
      <c r="GC724" s="9"/>
      <c r="GD724" s="9"/>
      <c r="GE724" s="9"/>
      <c r="GF724" s="9"/>
      <c r="GG724" s="9"/>
      <c r="GH724" s="9"/>
      <c r="GI724" s="9"/>
      <c r="GJ724" s="9"/>
      <c r="GK724" s="9"/>
      <c r="GL724" s="9"/>
      <c r="GM724" s="9"/>
      <c r="GN724" s="9"/>
      <c r="GO724" s="9"/>
      <c r="GP724" s="9"/>
      <c r="GQ724" s="9"/>
    </row>
    <row r="725" spans="2:199" ht="15"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  <c r="EI725" s="9"/>
      <c r="EJ725" s="9"/>
      <c r="EK725" s="9"/>
      <c r="EL725" s="9"/>
      <c r="EM725" s="9"/>
      <c r="EN725" s="9"/>
      <c r="EO725" s="9"/>
      <c r="EP725" s="9"/>
      <c r="EQ725" s="9"/>
      <c r="ER725" s="9"/>
      <c r="ES725" s="9"/>
      <c r="ET725" s="9"/>
      <c r="EU725" s="9"/>
      <c r="EV725" s="9"/>
      <c r="EW725" s="9"/>
      <c r="EX725" s="9"/>
      <c r="EY725" s="9"/>
      <c r="EZ725" s="9"/>
      <c r="FA725" s="9"/>
      <c r="FB725" s="9"/>
      <c r="FC725" s="9"/>
      <c r="FD725" s="9"/>
      <c r="FE725" s="9"/>
      <c r="FF725" s="9"/>
      <c r="FG725" s="9"/>
      <c r="FH725" s="9"/>
      <c r="FI725" s="9"/>
      <c r="FJ725" s="9"/>
      <c r="FK725" s="9"/>
      <c r="FL725" s="9"/>
      <c r="FM725" s="9"/>
      <c r="FN725" s="9"/>
      <c r="FO725" s="9"/>
      <c r="FP725" s="9"/>
      <c r="FQ725" s="9"/>
      <c r="FR725" s="9"/>
      <c r="FS725" s="9"/>
      <c r="FT725" s="9"/>
      <c r="FU725" s="9"/>
      <c r="FV725" s="9"/>
      <c r="FW725" s="9"/>
      <c r="FX725" s="9"/>
      <c r="FY725" s="9"/>
      <c r="FZ725" s="9"/>
      <c r="GA725" s="9"/>
      <c r="GB725" s="9"/>
      <c r="GC725" s="9"/>
      <c r="GD725" s="9"/>
      <c r="GE725" s="9"/>
      <c r="GF725" s="9"/>
      <c r="GG725" s="9"/>
      <c r="GH725" s="9"/>
      <c r="GI725" s="9"/>
      <c r="GJ725" s="9"/>
      <c r="GK725" s="9"/>
      <c r="GL725" s="9"/>
      <c r="GM725" s="9"/>
      <c r="GN725" s="9"/>
      <c r="GO725" s="9"/>
      <c r="GP725" s="9"/>
      <c r="GQ725" s="9"/>
    </row>
    <row r="726" spans="2:199" ht="15"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  <c r="EO726" s="9"/>
      <c r="EP726" s="9"/>
      <c r="EQ726" s="9"/>
      <c r="ER726" s="9"/>
      <c r="ES726" s="9"/>
      <c r="ET726" s="9"/>
      <c r="EU726" s="9"/>
      <c r="EV726" s="9"/>
      <c r="EW726" s="9"/>
      <c r="EX726" s="9"/>
      <c r="EY726" s="9"/>
      <c r="EZ726" s="9"/>
      <c r="FA726" s="9"/>
      <c r="FB726" s="9"/>
      <c r="FC726" s="9"/>
      <c r="FD726" s="9"/>
      <c r="FE726" s="9"/>
      <c r="FF726" s="9"/>
      <c r="FG726" s="9"/>
      <c r="FH726" s="9"/>
      <c r="FI726" s="9"/>
      <c r="FJ726" s="9"/>
      <c r="FK726" s="9"/>
      <c r="FL726" s="9"/>
      <c r="FM726" s="9"/>
      <c r="FN726" s="9"/>
      <c r="FO726" s="9"/>
      <c r="FP726" s="9"/>
      <c r="FQ726" s="9"/>
      <c r="FR726" s="9"/>
      <c r="FS726" s="9"/>
      <c r="FT726" s="9"/>
      <c r="FU726" s="9"/>
      <c r="FV726" s="9"/>
      <c r="FW726" s="9"/>
      <c r="FX726" s="9"/>
      <c r="FY726" s="9"/>
      <c r="FZ726" s="9"/>
      <c r="GA726" s="9"/>
      <c r="GB726" s="9"/>
      <c r="GC726" s="9"/>
      <c r="GD726" s="9"/>
      <c r="GE726" s="9"/>
      <c r="GF726" s="9"/>
      <c r="GG726" s="9"/>
      <c r="GH726" s="9"/>
      <c r="GI726" s="9"/>
      <c r="GJ726" s="9"/>
      <c r="GK726" s="9"/>
      <c r="GL726" s="9"/>
      <c r="GM726" s="9"/>
      <c r="GN726" s="9"/>
      <c r="GO726" s="9"/>
      <c r="GP726" s="9"/>
      <c r="GQ726" s="9"/>
    </row>
    <row r="727" spans="2:199" ht="15"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  <c r="EH727" s="9"/>
      <c r="EI727" s="9"/>
      <c r="EJ727" s="9"/>
      <c r="EK727" s="9"/>
      <c r="EL727" s="9"/>
      <c r="EM727" s="9"/>
      <c r="EN727" s="9"/>
      <c r="EO727" s="9"/>
      <c r="EP727" s="9"/>
      <c r="EQ727" s="9"/>
      <c r="ER727" s="9"/>
      <c r="ES727" s="9"/>
      <c r="ET727" s="9"/>
      <c r="EU727" s="9"/>
      <c r="EV727" s="9"/>
      <c r="EW727" s="9"/>
      <c r="EX727" s="9"/>
      <c r="EY727" s="9"/>
      <c r="EZ727" s="9"/>
      <c r="FA727" s="9"/>
      <c r="FB727" s="9"/>
      <c r="FC727" s="9"/>
      <c r="FD727" s="9"/>
      <c r="FE727" s="9"/>
      <c r="FF727" s="9"/>
      <c r="FG727" s="9"/>
      <c r="FH727" s="9"/>
      <c r="FI727" s="9"/>
      <c r="FJ727" s="9"/>
      <c r="FK727" s="9"/>
      <c r="FL727" s="9"/>
      <c r="FM727" s="9"/>
      <c r="FN727" s="9"/>
      <c r="FO727" s="9"/>
      <c r="FP727" s="9"/>
      <c r="FQ727" s="9"/>
      <c r="FR727" s="9"/>
      <c r="FS727" s="9"/>
      <c r="FT727" s="9"/>
      <c r="FU727" s="9"/>
      <c r="FV727" s="9"/>
      <c r="FW727" s="9"/>
      <c r="FX727" s="9"/>
      <c r="FY727" s="9"/>
      <c r="FZ727" s="9"/>
      <c r="GA727" s="9"/>
      <c r="GB727" s="9"/>
      <c r="GC727" s="9"/>
      <c r="GD727" s="9"/>
      <c r="GE727" s="9"/>
      <c r="GF727" s="9"/>
      <c r="GG727" s="9"/>
      <c r="GH727" s="9"/>
      <c r="GI727" s="9"/>
      <c r="GJ727" s="9"/>
      <c r="GK727" s="9"/>
      <c r="GL727" s="9"/>
      <c r="GM727" s="9"/>
      <c r="GN727" s="9"/>
      <c r="GO727" s="9"/>
      <c r="GP727" s="9"/>
      <c r="GQ727" s="9"/>
    </row>
    <row r="728" spans="2:199" ht="15"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  <c r="EH728" s="9"/>
      <c r="EI728" s="9"/>
      <c r="EJ728" s="9"/>
      <c r="EK728" s="9"/>
      <c r="EL728" s="9"/>
      <c r="EM728" s="9"/>
      <c r="EN728" s="9"/>
      <c r="EO728" s="9"/>
      <c r="EP728" s="9"/>
      <c r="EQ728" s="9"/>
      <c r="ER728" s="9"/>
      <c r="ES728" s="9"/>
      <c r="ET728" s="9"/>
      <c r="EU728" s="9"/>
      <c r="EV728" s="9"/>
      <c r="EW728" s="9"/>
      <c r="EX728" s="9"/>
      <c r="EY728" s="9"/>
      <c r="EZ728" s="9"/>
      <c r="FA728" s="9"/>
      <c r="FB728" s="9"/>
      <c r="FC728" s="9"/>
      <c r="FD728" s="9"/>
      <c r="FE728" s="9"/>
      <c r="FF728" s="9"/>
      <c r="FG728" s="9"/>
      <c r="FH728" s="9"/>
      <c r="FI728" s="9"/>
      <c r="FJ728" s="9"/>
      <c r="FK728" s="9"/>
      <c r="FL728" s="9"/>
      <c r="FM728" s="9"/>
      <c r="FN728" s="9"/>
      <c r="FO728" s="9"/>
      <c r="FP728" s="9"/>
      <c r="FQ728" s="9"/>
      <c r="FR728" s="9"/>
      <c r="FS728" s="9"/>
      <c r="FT728" s="9"/>
      <c r="FU728" s="9"/>
      <c r="FV728" s="9"/>
      <c r="FW728" s="9"/>
      <c r="FX728" s="9"/>
      <c r="FY728" s="9"/>
      <c r="FZ728" s="9"/>
      <c r="GA728" s="9"/>
      <c r="GB728" s="9"/>
      <c r="GC728" s="9"/>
      <c r="GD728" s="9"/>
      <c r="GE728" s="9"/>
      <c r="GF728" s="9"/>
      <c r="GG728" s="9"/>
      <c r="GH728" s="9"/>
      <c r="GI728" s="9"/>
      <c r="GJ728" s="9"/>
      <c r="GK728" s="9"/>
      <c r="GL728" s="9"/>
      <c r="GM728" s="9"/>
      <c r="GN728" s="9"/>
      <c r="GO728" s="9"/>
      <c r="GP728" s="9"/>
      <c r="GQ728" s="9"/>
    </row>
    <row r="729" spans="2:199" ht="15"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/>
      <c r="EG729" s="9"/>
      <c r="EH729" s="9"/>
      <c r="EI729" s="9"/>
      <c r="EJ729" s="9"/>
      <c r="EK729" s="9"/>
      <c r="EL729" s="9"/>
      <c r="EM729" s="9"/>
      <c r="EN729" s="9"/>
      <c r="EO729" s="9"/>
      <c r="EP729" s="9"/>
      <c r="EQ729" s="9"/>
      <c r="ER729" s="9"/>
      <c r="ES729" s="9"/>
      <c r="ET729" s="9"/>
      <c r="EU729" s="9"/>
      <c r="EV729" s="9"/>
      <c r="EW729" s="9"/>
      <c r="EX729" s="9"/>
      <c r="EY729" s="9"/>
      <c r="EZ729" s="9"/>
      <c r="FA729" s="9"/>
      <c r="FB729" s="9"/>
      <c r="FC729" s="9"/>
      <c r="FD729" s="9"/>
      <c r="FE729" s="9"/>
      <c r="FF729" s="9"/>
      <c r="FG729" s="9"/>
      <c r="FH729" s="9"/>
      <c r="FI729" s="9"/>
      <c r="FJ729" s="9"/>
      <c r="FK729" s="9"/>
      <c r="FL729" s="9"/>
      <c r="FM729" s="9"/>
      <c r="FN729" s="9"/>
      <c r="FO729" s="9"/>
      <c r="FP729" s="9"/>
      <c r="FQ729" s="9"/>
      <c r="FR729" s="9"/>
      <c r="FS729" s="9"/>
      <c r="FT729" s="9"/>
      <c r="FU729" s="9"/>
      <c r="FV729" s="9"/>
      <c r="FW729" s="9"/>
      <c r="FX729" s="9"/>
      <c r="FY729" s="9"/>
      <c r="FZ729" s="9"/>
      <c r="GA729" s="9"/>
      <c r="GB729" s="9"/>
      <c r="GC729" s="9"/>
      <c r="GD729" s="9"/>
      <c r="GE729" s="9"/>
      <c r="GF729" s="9"/>
      <c r="GG729" s="9"/>
      <c r="GH729" s="9"/>
      <c r="GI729" s="9"/>
      <c r="GJ729" s="9"/>
      <c r="GK729" s="9"/>
      <c r="GL729" s="9"/>
      <c r="GM729" s="9"/>
      <c r="GN729" s="9"/>
      <c r="GO729" s="9"/>
      <c r="GP729" s="9"/>
      <c r="GQ729" s="9"/>
    </row>
    <row r="730" spans="2:199" ht="15"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  <c r="EF730" s="9"/>
      <c r="EG730" s="9"/>
      <c r="EH730" s="9"/>
      <c r="EI730" s="9"/>
      <c r="EJ730" s="9"/>
      <c r="EK730" s="9"/>
      <c r="EL730" s="9"/>
      <c r="EM730" s="9"/>
      <c r="EN730" s="9"/>
      <c r="EO730" s="9"/>
      <c r="EP730" s="9"/>
      <c r="EQ730" s="9"/>
      <c r="ER730" s="9"/>
      <c r="ES730" s="9"/>
      <c r="ET730" s="9"/>
      <c r="EU730" s="9"/>
      <c r="EV730" s="9"/>
      <c r="EW730" s="9"/>
      <c r="EX730" s="9"/>
      <c r="EY730" s="9"/>
      <c r="EZ730" s="9"/>
      <c r="FA730" s="9"/>
      <c r="FB730" s="9"/>
      <c r="FC730" s="9"/>
      <c r="FD730" s="9"/>
      <c r="FE730" s="9"/>
      <c r="FF730" s="9"/>
      <c r="FG730" s="9"/>
      <c r="FH730" s="9"/>
      <c r="FI730" s="9"/>
      <c r="FJ730" s="9"/>
      <c r="FK730" s="9"/>
      <c r="FL730" s="9"/>
      <c r="FM730" s="9"/>
      <c r="FN730" s="9"/>
      <c r="FO730" s="9"/>
      <c r="FP730" s="9"/>
      <c r="FQ730" s="9"/>
      <c r="FR730" s="9"/>
      <c r="FS730" s="9"/>
      <c r="FT730" s="9"/>
      <c r="FU730" s="9"/>
      <c r="FV730" s="9"/>
      <c r="FW730" s="9"/>
      <c r="FX730" s="9"/>
      <c r="FY730" s="9"/>
      <c r="FZ730" s="9"/>
      <c r="GA730" s="9"/>
      <c r="GB730" s="9"/>
      <c r="GC730" s="9"/>
      <c r="GD730" s="9"/>
      <c r="GE730" s="9"/>
      <c r="GF730" s="9"/>
      <c r="GG730" s="9"/>
      <c r="GH730" s="9"/>
      <c r="GI730" s="9"/>
      <c r="GJ730" s="9"/>
      <c r="GK730" s="9"/>
      <c r="GL730" s="9"/>
      <c r="GM730" s="9"/>
      <c r="GN730" s="9"/>
      <c r="GO730" s="9"/>
      <c r="GP730" s="9"/>
      <c r="GQ730" s="9"/>
    </row>
    <row r="731" spans="2:199" ht="15"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  <c r="EH731" s="9"/>
      <c r="EI731" s="9"/>
      <c r="EJ731" s="9"/>
      <c r="EK731" s="9"/>
      <c r="EL731" s="9"/>
      <c r="EM731" s="9"/>
      <c r="EN731" s="9"/>
      <c r="EO731" s="9"/>
      <c r="EP731" s="9"/>
      <c r="EQ731" s="9"/>
      <c r="ER731" s="9"/>
      <c r="ES731" s="9"/>
      <c r="ET731" s="9"/>
      <c r="EU731" s="9"/>
      <c r="EV731" s="9"/>
      <c r="EW731" s="9"/>
      <c r="EX731" s="9"/>
      <c r="EY731" s="9"/>
      <c r="EZ731" s="9"/>
      <c r="FA731" s="9"/>
      <c r="FB731" s="9"/>
      <c r="FC731" s="9"/>
      <c r="FD731" s="9"/>
      <c r="FE731" s="9"/>
      <c r="FF731" s="9"/>
      <c r="FG731" s="9"/>
      <c r="FH731" s="9"/>
      <c r="FI731" s="9"/>
      <c r="FJ731" s="9"/>
      <c r="FK731" s="9"/>
      <c r="FL731" s="9"/>
      <c r="FM731" s="9"/>
      <c r="FN731" s="9"/>
      <c r="FO731" s="9"/>
      <c r="FP731" s="9"/>
      <c r="FQ731" s="9"/>
      <c r="FR731" s="9"/>
      <c r="FS731" s="9"/>
      <c r="FT731" s="9"/>
      <c r="FU731" s="9"/>
      <c r="FV731" s="9"/>
      <c r="FW731" s="9"/>
      <c r="FX731" s="9"/>
      <c r="FY731" s="9"/>
      <c r="FZ731" s="9"/>
      <c r="GA731" s="9"/>
      <c r="GB731" s="9"/>
      <c r="GC731" s="9"/>
      <c r="GD731" s="9"/>
      <c r="GE731" s="9"/>
      <c r="GF731" s="9"/>
      <c r="GG731" s="9"/>
      <c r="GH731" s="9"/>
      <c r="GI731" s="9"/>
      <c r="GJ731" s="9"/>
      <c r="GK731" s="9"/>
      <c r="GL731" s="9"/>
      <c r="GM731" s="9"/>
      <c r="GN731" s="9"/>
      <c r="GO731" s="9"/>
      <c r="GP731" s="9"/>
      <c r="GQ731" s="9"/>
    </row>
    <row r="732" spans="2:199" ht="15"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  <c r="EH732" s="9"/>
      <c r="EI732" s="9"/>
      <c r="EJ732" s="9"/>
      <c r="EK732" s="9"/>
      <c r="EL732" s="9"/>
      <c r="EM732" s="9"/>
      <c r="EN732" s="9"/>
      <c r="EO732" s="9"/>
      <c r="EP732" s="9"/>
      <c r="EQ732" s="9"/>
      <c r="ER732" s="9"/>
      <c r="ES732" s="9"/>
      <c r="ET732" s="9"/>
      <c r="EU732" s="9"/>
      <c r="EV732" s="9"/>
      <c r="EW732" s="9"/>
      <c r="EX732" s="9"/>
      <c r="EY732" s="9"/>
      <c r="EZ732" s="9"/>
      <c r="FA732" s="9"/>
      <c r="FB732" s="9"/>
      <c r="FC732" s="9"/>
      <c r="FD732" s="9"/>
      <c r="FE732" s="9"/>
      <c r="FF732" s="9"/>
      <c r="FG732" s="9"/>
      <c r="FH732" s="9"/>
      <c r="FI732" s="9"/>
      <c r="FJ732" s="9"/>
      <c r="FK732" s="9"/>
      <c r="FL732" s="9"/>
      <c r="FM732" s="9"/>
      <c r="FN732" s="9"/>
      <c r="FO732" s="9"/>
      <c r="FP732" s="9"/>
      <c r="FQ732" s="9"/>
      <c r="FR732" s="9"/>
      <c r="FS732" s="9"/>
      <c r="FT732" s="9"/>
      <c r="FU732" s="9"/>
      <c r="FV732" s="9"/>
      <c r="FW732" s="9"/>
      <c r="FX732" s="9"/>
      <c r="FY732" s="9"/>
      <c r="FZ732" s="9"/>
      <c r="GA732" s="9"/>
      <c r="GB732" s="9"/>
      <c r="GC732" s="9"/>
      <c r="GD732" s="9"/>
      <c r="GE732" s="9"/>
      <c r="GF732" s="9"/>
      <c r="GG732" s="9"/>
      <c r="GH732" s="9"/>
      <c r="GI732" s="9"/>
      <c r="GJ732" s="9"/>
      <c r="GK732" s="9"/>
      <c r="GL732" s="9"/>
      <c r="GM732" s="9"/>
      <c r="GN732" s="9"/>
      <c r="GO732" s="9"/>
      <c r="GP732" s="9"/>
      <c r="GQ732" s="9"/>
    </row>
    <row r="733" spans="2:199" ht="15"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  <c r="EI733" s="9"/>
      <c r="EJ733" s="9"/>
      <c r="EK733" s="9"/>
      <c r="EL733" s="9"/>
      <c r="EM733" s="9"/>
      <c r="EN733" s="9"/>
      <c r="EO733" s="9"/>
      <c r="EP733" s="9"/>
      <c r="EQ733" s="9"/>
      <c r="ER733" s="9"/>
      <c r="ES733" s="9"/>
      <c r="ET733" s="9"/>
      <c r="EU733" s="9"/>
      <c r="EV733" s="9"/>
      <c r="EW733" s="9"/>
      <c r="EX733" s="9"/>
      <c r="EY733" s="9"/>
      <c r="EZ733" s="9"/>
      <c r="FA733" s="9"/>
      <c r="FB733" s="9"/>
      <c r="FC733" s="9"/>
      <c r="FD733" s="9"/>
      <c r="FE733" s="9"/>
      <c r="FF733" s="9"/>
      <c r="FG733" s="9"/>
      <c r="FH733" s="9"/>
      <c r="FI733" s="9"/>
      <c r="FJ733" s="9"/>
      <c r="FK733" s="9"/>
      <c r="FL733" s="9"/>
      <c r="FM733" s="9"/>
      <c r="FN733" s="9"/>
      <c r="FO733" s="9"/>
      <c r="FP733" s="9"/>
      <c r="FQ733" s="9"/>
      <c r="FR733" s="9"/>
      <c r="FS733" s="9"/>
      <c r="FT733" s="9"/>
      <c r="FU733" s="9"/>
      <c r="FV733" s="9"/>
      <c r="FW733" s="9"/>
      <c r="FX733" s="9"/>
      <c r="FY733" s="9"/>
      <c r="FZ733" s="9"/>
      <c r="GA733" s="9"/>
      <c r="GB733" s="9"/>
      <c r="GC733" s="9"/>
      <c r="GD733" s="9"/>
      <c r="GE733" s="9"/>
      <c r="GF733" s="9"/>
      <c r="GG733" s="9"/>
      <c r="GH733" s="9"/>
      <c r="GI733" s="9"/>
      <c r="GJ733" s="9"/>
      <c r="GK733" s="9"/>
      <c r="GL733" s="9"/>
      <c r="GM733" s="9"/>
      <c r="GN733" s="9"/>
      <c r="GO733" s="9"/>
      <c r="GP733" s="9"/>
      <c r="GQ733" s="9"/>
    </row>
    <row r="734" spans="2:199" ht="15"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  <c r="EM734" s="9"/>
      <c r="EN734" s="9"/>
      <c r="EO734" s="9"/>
      <c r="EP734" s="9"/>
      <c r="EQ734" s="9"/>
      <c r="ER734" s="9"/>
      <c r="ES734" s="9"/>
      <c r="ET734" s="9"/>
      <c r="EU734" s="9"/>
      <c r="EV734" s="9"/>
      <c r="EW734" s="9"/>
      <c r="EX734" s="9"/>
      <c r="EY734" s="9"/>
      <c r="EZ734" s="9"/>
      <c r="FA734" s="9"/>
      <c r="FB734" s="9"/>
      <c r="FC734" s="9"/>
      <c r="FD734" s="9"/>
      <c r="FE734" s="9"/>
      <c r="FF734" s="9"/>
      <c r="FG734" s="9"/>
      <c r="FH734" s="9"/>
      <c r="FI734" s="9"/>
      <c r="FJ734" s="9"/>
      <c r="FK734" s="9"/>
      <c r="FL734" s="9"/>
      <c r="FM734" s="9"/>
      <c r="FN734" s="9"/>
      <c r="FO734" s="9"/>
      <c r="FP734" s="9"/>
      <c r="FQ734" s="9"/>
      <c r="FR734" s="9"/>
      <c r="FS734" s="9"/>
      <c r="FT734" s="9"/>
      <c r="FU734" s="9"/>
      <c r="FV734" s="9"/>
      <c r="FW734" s="9"/>
      <c r="FX734" s="9"/>
      <c r="FY734" s="9"/>
      <c r="FZ734" s="9"/>
      <c r="GA734" s="9"/>
      <c r="GB734" s="9"/>
      <c r="GC734" s="9"/>
      <c r="GD734" s="9"/>
      <c r="GE734" s="9"/>
      <c r="GF734" s="9"/>
      <c r="GG734" s="9"/>
      <c r="GH734" s="9"/>
      <c r="GI734" s="9"/>
      <c r="GJ734" s="9"/>
      <c r="GK734" s="9"/>
      <c r="GL734" s="9"/>
      <c r="GM734" s="9"/>
      <c r="GN734" s="9"/>
      <c r="GO734" s="9"/>
      <c r="GP734" s="9"/>
      <c r="GQ734" s="9"/>
    </row>
    <row r="735" spans="2:199" ht="15"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  <c r="EH735" s="9"/>
      <c r="EI735" s="9"/>
      <c r="EJ735" s="9"/>
      <c r="EK735" s="9"/>
      <c r="EL735" s="9"/>
      <c r="EM735" s="9"/>
      <c r="EN735" s="9"/>
      <c r="EO735" s="9"/>
      <c r="EP735" s="9"/>
      <c r="EQ735" s="9"/>
      <c r="ER735" s="9"/>
      <c r="ES735" s="9"/>
      <c r="ET735" s="9"/>
      <c r="EU735" s="9"/>
      <c r="EV735" s="9"/>
      <c r="EW735" s="9"/>
      <c r="EX735" s="9"/>
      <c r="EY735" s="9"/>
      <c r="EZ735" s="9"/>
      <c r="FA735" s="9"/>
      <c r="FB735" s="9"/>
      <c r="FC735" s="9"/>
      <c r="FD735" s="9"/>
      <c r="FE735" s="9"/>
      <c r="FF735" s="9"/>
      <c r="FG735" s="9"/>
      <c r="FH735" s="9"/>
      <c r="FI735" s="9"/>
      <c r="FJ735" s="9"/>
      <c r="FK735" s="9"/>
      <c r="FL735" s="9"/>
      <c r="FM735" s="9"/>
      <c r="FN735" s="9"/>
      <c r="FO735" s="9"/>
      <c r="FP735" s="9"/>
      <c r="FQ735" s="9"/>
      <c r="FR735" s="9"/>
      <c r="FS735" s="9"/>
      <c r="FT735" s="9"/>
      <c r="FU735" s="9"/>
      <c r="FV735" s="9"/>
      <c r="FW735" s="9"/>
      <c r="FX735" s="9"/>
      <c r="FY735" s="9"/>
      <c r="FZ735" s="9"/>
      <c r="GA735" s="9"/>
      <c r="GB735" s="9"/>
      <c r="GC735" s="9"/>
      <c r="GD735" s="9"/>
      <c r="GE735" s="9"/>
      <c r="GF735" s="9"/>
      <c r="GG735" s="9"/>
      <c r="GH735" s="9"/>
      <c r="GI735" s="9"/>
      <c r="GJ735" s="9"/>
      <c r="GK735" s="9"/>
      <c r="GL735" s="9"/>
      <c r="GM735" s="9"/>
      <c r="GN735" s="9"/>
      <c r="GO735" s="9"/>
      <c r="GP735" s="9"/>
      <c r="GQ735" s="9"/>
    </row>
    <row r="736" spans="2:199" ht="15"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/>
      <c r="EG736" s="9"/>
      <c r="EH736" s="9"/>
      <c r="EI736" s="9"/>
      <c r="EJ736" s="9"/>
      <c r="EK736" s="9"/>
      <c r="EL736" s="9"/>
      <c r="EM736" s="9"/>
      <c r="EN736" s="9"/>
      <c r="EO736" s="9"/>
      <c r="EP736" s="9"/>
      <c r="EQ736" s="9"/>
      <c r="ER736" s="9"/>
      <c r="ES736" s="9"/>
      <c r="ET736" s="9"/>
      <c r="EU736" s="9"/>
      <c r="EV736" s="9"/>
      <c r="EW736" s="9"/>
      <c r="EX736" s="9"/>
      <c r="EY736" s="9"/>
      <c r="EZ736" s="9"/>
      <c r="FA736" s="9"/>
      <c r="FB736" s="9"/>
      <c r="FC736" s="9"/>
      <c r="FD736" s="9"/>
      <c r="FE736" s="9"/>
      <c r="FF736" s="9"/>
      <c r="FG736" s="9"/>
      <c r="FH736" s="9"/>
      <c r="FI736" s="9"/>
      <c r="FJ736" s="9"/>
      <c r="FK736" s="9"/>
      <c r="FL736" s="9"/>
      <c r="FM736" s="9"/>
      <c r="FN736" s="9"/>
      <c r="FO736" s="9"/>
      <c r="FP736" s="9"/>
      <c r="FQ736" s="9"/>
      <c r="FR736" s="9"/>
      <c r="FS736" s="9"/>
      <c r="FT736" s="9"/>
      <c r="FU736" s="9"/>
      <c r="FV736" s="9"/>
      <c r="FW736" s="9"/>
      <c r="FX736" s="9"/>
      <c r="FY736" s="9"/>
      <c r="FZ736" s="9"/>
      <c r="GA736" s="9"/>
      <c r="GB736" s="9"/>
      <c r="GC736" s="9"/>
      <c r="GD736" s="9"/>
      <c r="GE736" s="9"/>
      <c r="GF736" s="9"/>
      <c r="GG736" s="9"/>
      <c r="GH736" s="9"/>
      <c r="GI736" s="9"/>
      <c r="GJ736" s="9"/>
      <c r="GK736" s="9"/>
      <c r="GL736" s="9"/>
      <c r="GM736" s="9"/>
      <c r="GN736" s="9"/>
      <c r="GO736" s="9"/>
      <c r="GP736" s="9"/>
      <c r="GQ736" s="9"/>
    </row>
    <row r="737" spans="2:199" ht="15"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  <c r="EP737" s="9"/>
      <c r="EQ737" s="9"/>
      <c r="ER737" s="9"/>
      <c r="ES737" s="9"/>
      <c r="ET737" s="9"/>
      <c r="EU737" s="9"/>
      <c r="EV737" s="9"/>
      <c r="EW737" s="9"/>
      <c r="EX737" s="9"/>
      <c r="EY737" s="9"/>
      <c r="EZ737" s="9"/>
      <c r="FA737" s="9"/>
      <c r="FB737" s="9"/>
      <c r="FC737" s="9"/>
      <c r="FD737" s="9"/>
      <c r="FE737" s="9"/>
      <c r="FF737" s="9"/>
      <c r="FG737" s="9"/>
      <c r="FH737" s="9"/>
      <c r="FI737" s="9"/>
      <c r="FJ737" s="9"/>
      <c r="FK737" s="9"/>
      <c r="FL737" s="9"/>
      <c r="FM737" s="9"/>
      <c r="FN737" s="9"/>
      <c r="FO737" s="9"/>
      <c r="FP737" s="9"/>
      <c r="FQ737" s="9"/>
      <c r="FR737" s="9"/>
      <c r="FS737" s="9"/>
      <c r="FT737" s="9"/>
      <c r="FU737" s="9"/>
      <c r="FV737" s="9"/>
      <c r="FW737" s="9"/>
      <c r="FX737" s="9"/>
      <c r="FY737" s="9"/>
      <c r="FZ737" s="9"/>
      <c r="GA737" s="9"/>
      <c r="GB737" s="9"/>
      <c r="GC737" s="9"/>
      <c r="GD737" s="9"/>
      <c r="GE737" s="9"/>
      <c r="GF737" s="9"/>
      <c r="GG737" s="9"/>
      <c r="GH737" s="9"/>
      <c r="GI737" s="9"/>
      <c r="GJ737" s="9"/>
      <c r="GK737" s="9"/>
      <c r="GL737" s="9"/>
      <c r="GM737" s="9"/>
      <c r="GN737" s="9"/>
      <c r="GO737" s="9"/>
      <c r="GP737" s="9"/>
      <c r="GQ737" s="9"/>
    </row>
    <row r="738" spans="2:199" ht="15"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  <c r="EP738" s="9"/>
      <c r="EQ738" s="9"/>
      <c r="ER738" s="9"/>
      <c r="ES738" s="9"/>
      <c r="ET738" s="9"/>
      <c r="EU738" s="9"/>
      <c r="EV738" s="9"/>
      <c r="EW738" s="9"/>
      <c r="EX738" s="9"/>
      <c r="EY738" s="9"/>
      <c r="EZ738" s="9"/>
      <c r="FA738" s="9"/>
      <c r="FB738" s="9"/>
      <c r="FC738" s="9"/>
      <c r="FD738" s="9"/>
      <c r="FE738" s="9"/>
      <c r="FF738" s="9"/>
      <c r="FG738" s="9"/>
      <c r="FH738" s="9"/>
      <c r="FI738" s="9"/>
      <c r="FJ738" s="9"/>
      <c r="FK738" s="9"/>
      <c r="FL738" s="9"/>
      <c r="FM738" s="9"/>
      <c r="FN738" s="9"/>
      <c r="FO738" s="9"/>
      <c r="FP738" s="9"/>
      <c r="FQ738" s="9"/>
      <c r="FR738" s="9"/>
      <c r="FS738" s="9"/>
      <c r="FT738" s="9"/>
      <c r="FU738" s="9"/>
      <c r="FV738" s="9"/>
      <c r="FW738" s="9"/>
      <c r="FX738" s="9"/>
      <c r="FY738" s="9"/>
      <c r="FZ738" s="9"/>
      <c r="GA738" s="9"/>
      <c r="GB738" s="9"/>
      <c r="GC738" s="9"/>
      <c r="GD738" s="9"/>
      <c r="GE738" s="9"/>
      <c r="GF738" s="9"/>
      <c r="GG738" s="9"/>
      <c r="GH738" s="9"/>
      <c r="GI738" s="9"/>
      <c r="GJ738" s="9"/>
      <c r="GK738" s="9"/>
      <c r="GL738" s="9"/>
      <c r="GM738" s="9"/>
      <c r="GN738" s="9"/>
      <c r="GO738" s="9"/>
      <c r="GP738" s="9"/>
      <c r="GQ738" s="9"/>
    </row>
    <row r="739" spans="2:199" ht="15"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  <c r="EF739" s="9"/>
      <c r="EG739" s="9"/>
      <c r="EH739" s="9"/>
      <c r="EI739" s="9"/>
      <c r="EJ739" s="9"/>
      <c r="EK739" s="9"/>
      <c r="EL739" s="9"/>
      <c r="EM739" s="9"/>
      <c r="EN739" s="9"/>
      <c r="EO739" s="9"/>
      <c r="EP739" s="9"/>
      <c r="EQ739" s="9"/>
      <c r="ER739" s="9"/>
      <c r="ES739" s="9"/>
      <c r="ET739" s="9"/>
      <c r="EU739" s="9"/>
      <c r="EV739" s="9"/>
      <c r="EW739" s="9"/>
      <c r="EX739" s="9"/>
      <c r="EY739" s="9"/>
      <c r="EZ739" s="9"/>
      <c r="FA739" s="9"/>
      <c r="FB739" s="9"/>
      <c r="FC739" s="9"/>
      <c r="FD739" s="9"/>
      <c r="FE739" s="9"/>
      <c r="FF739" s="9"/>
      <c r="FG739" s="9"/>
      <c r="FH739" s="9"/>
      <c r="FI739" s="9"/>
      <c r="FJ739" s="9"/>
      <c r="FK739" s="9"/>
      <c r="FL739" s="9"/>
      <c r="FM739" s="9"/>
      <c r="FN739" s="9"/>
      <c r="FO739" s="9"/>
      <c r="FP739" s="9"/>
      <c r="FQ739" s="9"/>
      <c r="FR739" s="9"/>
      <c r="FS739" s="9"/>
      <c r="FT739" s="9"/>
      <c r="FU739" s="9"/>
      <c r="FV739" s="9"/>
      <c r="FW739" s="9"/>
      <c r="FX739" s="9"/>
      <c r="FY739" s="9"/>
      <c r="FZ739" s="9"/>
      <c r="GA739" s="9"/>
      <c r="GB739" s="9"/>
      <c r="GC739" s="9"/>
      <c r="GD739" s="9"/>
      <c r="GE739" s="9"/>
      <c r="GF739" s="9"/>
      <c r="GG739" s="9"/>
      <c r="GH739" s="9"/>
      <c r="GI739" s="9"/>
      <c r="GJ739" s="9"/>
      <c r="GK739" s="9"/>
      <c r="GL739" s="9"/>
      <c r="GM739" s="9"/>
      <c r="GN739" s="9"/>
      <c r="GO739" s="9"/>
      <c r="GP739" s="9"/>
      <c r="GQ739" s="9"/>
    </row>
    <row r="740" spans="2:199" ht="15"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  <c r="EI740" s="9"/>
      <c r="EJ740" s="9"/>
      <c r="EK740" s="9"/>
      <c r="EL740" s="9"/>
      <c r="EM740" s="9"/>
      <c r="EN740" s="9"/>
      <c r="EO740" s="9"/>
      <c r="EP740" s="9"/>
      <c r="EQ740" s="9"/>
      <c r="ER740" s="9"/>
      <c r="ES740" s="9"/>
      <c r="ET740" s="9"/>
      <c r="EU740" s="9"/>
      <c r="EV740" s="9"/>
      <c r="EW740" s="9"/>
      <c r="EX740" s="9"/>
      <c r="EY740" s="9"/>
      <c r="EZ740" s="9"/>
      <c r="FA740" s="9"/>
      <c r="FB740" s="9"/>
      <c r="FC740" s="9"/>
      <c r="FD740" s="9"/>
      <c r="FE740" s="9"/>
      <c r="FF740" s="9"/>
      <c r="FG740" s="9"/>
      <c r="FH740" s="9"/>
      <c r="FI740" s="9"/>
      <c r="FJ740" s="9"/>
      <c r="FK740" s="9"/>
      <c r="FL740" s="9"/>
      <c r="FM740" s="9"/>
      <c r="FN740" s="9"/>
      <c r="FO740" s="9"/>
      <c r="FP740" s="9"/>
      <c r="FQ740" s="9"/>
      <c r="FR740" s="9"/>
      <c r="FS740" s="9"/>
      <c r="FT740" s="9"/>
      <c r="FU740" s="9"/>
      <c r="FV740" s="9"/>
      <c r="FW740" s="9"/>
      <c r="FX740" s="9"/>
      <c r="FY740" s="9"/>
      <c r="FZ740" s="9"/>
      <c r="GA740" s="9"/>
      <c r="GB740" s="9"/>
      <c r="GC740" s="9"/>
      <c r="GD740" s="9"/>
      <c r="GE740" s="9"/>
      <c r="GF740" s="9"/>
      <c r="GG740" s="9"/>
      <c r="GH740" s="9"/>
      <c r="GI740" s="9"/>
      <c r="GJ740" s="9"/>
      <c r="GK740" s="9"/>
      <c r="GL740" s="9"/>
      <c r="GM740" s="9"/>
      <c r="GN740" s="9"/>
      <c r="GO740" s="9"/>
      <c r="GP740" s="9"/>
      <c r="GQ740" s="9"/>
    </row>
    <row r="741" spans="2:199" ht="15"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/>
      <c r="EG741" s="9"/>
      <c r="EH741" s="9"/>
      <c r="EI741" s="9"/>
      <c r="EJ741" s="9"/>
      <c r="EK741" s="9"/>
      <c r="EL741" s="9"/>
      <c r="EM741" s="9"/>
      <c r="EN741" s="9"/>
      <c r="EO741" s="9"/>
      <c r="EP741" s="9"/>
      <c r="EQ741" s="9"/>
      <c r="ER741" s="9"/>
      <c r="ES741" s="9"/>
      <c r="ET741" s="9"/>
      <c r="EU741" s="9"/>
      <c r="EV741" s="9"/>
      <c r="EW741" s="9"/>
      <c r="EX741" s="9"/>
      <c r="EY741" s="9"/>
      <c r="EZ741" s="9"/>
      <c r="FA741" s="9"/>
      <c r="FB741" s="9"/>
      <c r="FC741" s="9"/>
      <c r="FD741" s="9"/>
      <c r="FE741" s="9"/>
      <c r="FF741" s="9"/>
      <c r="FG741" s="9"/>
      <c r="FH741" s="9"/>
      <c r="FI741" s="9"/>
      <c r="FJ741" s="9"/>
      <c r="FK741" s="9"/>
      <c r="FL741" s="9"/>
      <c r="FM741" s="9"/>
      <c r="FN741" s="9"/>
      <c r="FO741" s="9"/>
      <c r="FP741" s="9"/>
      <c r="FQ741" s="9"/>
      <c r="FR741" s="9"/>
      <c r="FS741" s="9"/>
      <c r="FT741" s="9"/>
      <c r="FU741" s="9"/>
      <c r="FV741" s="9"/>
      <c r="FW741" s="9"/>
      <c r="FX741" s="9"/>
      <c r="FY741" s="9"/>
      <c r="FZ741" s="9"/>
      <c r="GA741" s="9"/>
      <c r="GB741" s="9"/>
      <c r="GC741" s="9"/>
      <c r="GD741" s="9"/>
      <c r="GE741" s="9"/>
      <c r="GF741" s="9"/>
      <c r="GG741" s="9"/>
      <c r="GH741" s="9"/>
      <c r="GI741" s="9"/>
      <c r="GJ741" s="9"/>
      <c r="GK741" s="9"/>
      <c r="GL741" s="9"/>
      <c r="GM741" s="9"/>
      <c r="GN741" s="9"/>
      <c r="GO741" s="9"/>
      <c r="GP741" s="9"/>
      <c r="GQ741" s="9"/>
    </row>
    <row r="742" spans="2:199" ht="15"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  <c r="EH742" s="9"/>
      <c r="EI742" s="9"/>
      <c r="EJ742" s="9"/>
      <c r="EK742" s="9"/>
      <c r="EL742" s="9"/>
      <c r="EM742" s="9"/>
      <c r="EN742" s="9"/>
      <c r="EO742" s="9"/>
      <c r="EP742" s="9"/>
      <c r="EQ742" s="9"/>
      <c r="ER742" s="9"/>
      <c r="ES742" s="9"/>
      <c r="ET742" s="9"/>
      <c r="EU742" s="9"/>
      <c r="EV742" s="9"/>
      <c r="EW742" s="9"/>
      <c r="EX742" s="9"/>
      <c r="EY742" s="9"/>
      <c r="EZ742" s="9"/>
      <c r="FA742" s="9"/>
      <c r="FB742" s="9"/>
      <c r="FC742" s="9"/>
      <c r="FD742" s="9"/>
      <c r="FE742" s="9"/>
      <c r="FF742" s="9"/>
      <c r="FG742" s="9"/>
      <c r="FH742" s="9"/>
      <c r="FI742" s="9"/>
      <c r="FJ742" s="9"/>
      <c r="FK742" s="9"/>
      <c r="FL742" s="9"/>
      <c r="FM742" s="9"/>
      <c r="FN742" s="9"/>
      <c r="FO742" s="9"/>
      <c r="FP742" s="9"/>
      <c r="FQ742" s="9"/>
      <c r="FR742" s="9"/>
      <c r="FS742" s="9"/>
      <c r="FT742" s="9"/>
      <c r="FU742" s="9"/>
      <c r="FV742" s="9"/>
      <c r="FW742" s="9"/>
      <c r="FX742" s="9"/>
      <c r="FY742" s="9"/>
      <c r="FZ742" s="9"/>
      <c r="GA742" s="9"/>
      <c r="GB742" s="9"/>
      <c r="GC742" s="9"/>
      <c r="GD742" s="9"/>
      <c r="GE742" s="9"/>
      <c r="GF742" s="9"/>
      <c r="GG742" s="9"/>
      <c r="GH742" s="9"/>
      <c r="GI742" s="9"/>
      <c r="GJ742" s="9"/>
      <c r="GK742" s="9"/>
      <c r="GL742" s="9"/>
      <c r="GM742" s="9"/>
      <c r="GN742" s="9"/>
      <c r="GO742" s="9"/>
      <c r="GP742" s="9"/>
      <c r="GQ742" s="9"/>
    </row>
    <row r="743" spans="2:199" ht="15"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/>
      <c r="EG743" s="9"/>
      <c r="EH743" s="9"/>
      <c r="EI743" s="9"/>
      <c r="EJ743" s="9"/>
      <c r="EK743" s="9"/>
      <c r="EL743" s="9"/>
      <c r="EM743" s="9"/>
      <c r="EN743" s="9"/>
      <c r="EO743" s="9"/>
      <c r="EP743" s="9"/>
      <c r="EQ743" s="9"/>
      <c r="ER743" s="9"/>
      <c r="ES743" s="9"/>
      <c r="ET743" s="9"/>
      <c r="EU743" s="9"/>
      <c r="EV743" s="9"/>
      <c r="EW743" s="9"/>
      <c r="EX743" s="9"/>
      <c r="EY743" s="9"/>
      <c r="EZ743" s="9"/>
      <c r="FA743" s="9"/>
      <c r="FB743" s="9"/>
      <c r="FC743" s="9"/>
      <c r="FD743" s="9"/>
      <c r="FE743" s="9"/>
      <c r="FF743" s="9"/>
      <c r="FG743" s="9"/>
      <c r="FH743" s="9"/>
      <c r="FI743" s="9"/>
      <c r="FJ743" s="9"/>
      <c r="FK743" s="9"/>
      <c r="FL743" s="9"/>
      <c r="FM743" s="9"/>
      <c r="FN743" s="9"/>
      <c r="FO743" s="9"/>
      <c r="FP743" s="9"/>
      <c r="FQ743" s="9"/>
      <c r="FR743" s="9"/>
      <c r="FS743" s="9"/>
      <c r="FT743" s="9"/>
      <c r="FU743" s="9"/>
      <c r="FV743" s="9"/>
      <c r="FW743" s="9"/>
      <c r="FX743" s="9"/>
      <c r="FY743" s="9"/>
      <c r="FZ743" s="9"/>
      <c r="GA743" s="9"/>
      <c r="GB743" s="9"/>
      <c r="GC743" s="9"/>
      <c r="GD743" s="9"/>
      <c r="GE743" s="9"/>
      <c r="GF743" s="9"/>
      <c r="GG743" s="9"/>
      <c r="GH743" s="9"/>
      <c r="GI743" s="9"/>
      <c r="GJ743" s="9"/>
      <c r="GK743" s="9"/>
      <c r="GL743" s="9"/>
      <c r="GM743" s="9"/>
      <c r="GN743" s="9"/>
      <c r="GO743" s="9"/>
      <c r="GP743" s="9"/>
      <c r="GQ743" s="9"/>
    </row>
    <row r="744" spans="2:199" ht="15"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  <c r="EO744" s="9"/>
      <c r="EP744" s="9"/>
      <c r="EQ744" s="9"/>
      <c r="ER744" s="9"/>
      <c r="ES744" s="9"/>
      <c r="ET744" s="9"/>
      <c r="EU744" s="9"/>
      <c r="EV744" s="9"/>
      <c r="EW744" s="9"/>
      <c r="EX744" s="9"/>
      <c r="EY744" s="9"/>
      <c r="EZ744" s="9"/>
      <c r="FA744" s="9"/>
      <c r="FB744" s="9"/>
      <c r="FC744" s="9"/>
      <c r="FD744" s="9"/>
      <c r="FE744" s="9"/>
      <c r="FF744" s="9"/>
      <c r="FG744" s="9"/>
      <c r="FH744" s="9"/>
      <c r="FI744" s="9"/>
      <c r="FJ744" s="9"/>
      <c r="FK744" s="9"/>
      <c r="FL744" s="9"/>
      <c r="FM744" s="9"/>
      <c r="FN744" s="9"/>
      <c r="FO744" s="9"/>
      <c r="FP744" s="9"/>
      <c r="FQ744" s="9"/>
      <c r="FR744" s="9"/>
      <c r="FS744" s="9"/>
      <c r="FT744" s="9"/>
      <c r="FU744" s="9"/>
      <c r="FV744" s="9"/>
      <c r="FW744" s="9"/>
      <c r="FX744" s="9"/>
      <c r="FY744" s="9"/>
      <c r="FZ744" s="9"/>
      <c r="GA744" s="9"/>
      <c r="GB744" s="9"/>
      <c r="GC744" s="9"/>
      <c r="GD744" s="9"/>
      <c r="GE744" s="9"/>
      <c r="GF744" s="9"/>
      <c r="GG744" s="9"/>
      <c r="GH744" s="9"/>
      <c r="GI744" s="9"/>
      <c r="GJ744" s="9"/>
      <c r="GK744" s="9"/>
      <c r="GL744" s="9"/>
      <c r="GM744" s="9"/>
      <c r="GN744" s="9"/>
      <c r="GO744" s="9"/>
      <c r="GP744" s="9"/>
      <c r="GQ744" s="9"/>
    </row>
    <row r="745" spans="2:199" ht="15"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  <c r="EI745" s="9"/>
      <c r="EJ745" s="9"/>
      <c r="EK745" s="9"/>
      <c r="EL745" s="9"/>
      <c r="EM745" s="9"/>
      <c r="EN745" s="9"/>
      <c r="EO745" s="9"/>
      <c r="EP745" s="9"/>
      <c r="EQ745" s="9"/>
      <c r="ER745" s="9"/>
      <c r="ES745" s="9"/>
      <c r="ET745" s="9"/>
      <c r="EU745" s="9"/>
      <c r="EV745" s="9"/>
      <c r="EW745" s="9"/>
      <c r="EX745" s="9"/>
      <c r="EY745" s="9"/>
      <c r="EZ745" s="9"/>
      <c r="FA745" s="9"/>
      <c r="FB745" s="9"/>
      <c r="FC745" s="9"/>
      <c r="FD745" s="9"/>
      <c r="FE745" s="9"/>
      <c r="FF745" s="9"/>
      <c r="FG745" s="9"/>
      <c r="FH745" s="9"/>
      <c r="FI745" s="9"/>
      <c r="FJ745" s="9"/>
      <c r="FK745" s="9"/>
      <c r="FL745" s="9"/>
      <c r="FM745" s="9"/>
      <c r="FN745" s="9"/>
      <c r="FO745" s="9"/>
      <c r="FP745" s="9"/>
      <c r="FQ745" s="9"/>
      <c r="FR745" s="9"/>
      <c r="FS745" s="9"/>
      <c r="FT745" s="9"/>
      <c r="FU745" s="9"/>
      <c r="FV745" s="9"/>
      <c r="FW745" s="9"/>
      <c r="FX745" s="9"/>
      <c r="FY745" s="9"/>
      <c r="FZ745" s="9"/>
      <c r="GA745" s="9"/>
      <c r="GB745" s="9"/>
      <c r="GC745" s="9"/>
      <c r="GD745" s="9"/>
      <c r="GE745" s="9"/>
      <c r="GF745" s="9"/>
      <c r="GG745" s="9"/>
      <c r="GH745" s="9"/>
      <c r="GI745" s="9"/>
      <c r="GJ745" s="9"/>
      <c r="GK745" s="9"/>
      <c r="GL745" s="9"/>
      <c r="GM745" s="9"/>
      <c r="GN745" s="9"/>
      <c r="GO745" s="9"/>
      <c r="GP745" s="9"/>
      <c r="GQ745" s="9"/>
    </row>
    <row r="746" spans="2:199" ht="15"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  <c r="EO746" s="9"/>
      <c r="EP746" s="9"/>
      <c r="EQ746" s="9"/>
      <c r="ER746" s="9"/>
      <c r="ES746" s="9"/>
      <c r="ET746" s="9"/>
      <c r="EU746" s="9"/>
      <c r="EV746" s="9"/>
      <c r="EW746" s="9"/>
      <c r="EX746" s="9"/>
      <c r="EY746" s="9"/>
      <c r="EZ746" s="9"/>
      <c r="FA746" s="9"/>
      <c r="FB746" s="9"/>
      <c r="FC746" s="9"/>
      <c r="FD746" s="9"/>
      <c r="FE746" s="9"/>
      <c r="FF746" s="9"/>
      <c r="FG746" s="9"/>
      <c r="FH746" s="9"/>
      <c r="FI746" s="9"/>
      <c r="FJ746" s="9"/>
      <c r="FK746" s="9"/>
      <c r="FL746" s="9"/>
      <c r="FM746" s="9"/>
      <c r="FN746" s="9"/>
      <c r="FO746" s="9"/>
      <c r="FP746" s="9"/>
      <c r="FQ746" s="9"/>
      <c r="FR746" s="9"/>
      <c r="FS746" s="9"/>
      <c r="FT746" s="9"/>
      <c r="FU746" s="9"/>
      <c r="FV746" s="9"/>
      <c r="FW746" s="9"/>
      <c r="FX746" s="9"/>
      <c r="FY746" s="9"/>
      <c r="FZ746" s="9"/>
      <c r="GA746" s="9"/>
      <c r="GB746" s="9"/>
      <c r="GC746" s="9"/>
      <c r="GD746" s="9"/>
      <c r="GE746" s="9"/>
      <c r="GF746" s="9"/>
      <c r="GG746" s="9"/>
      <c r="GH746" s="9"/>
      <c r="GI746" s="9"/>
      <c r="GJ746" s="9"/>
      <c r="GK746" s="9"/>
      <c r="GL746" s="9"/>
      <c r="GM746" s="9"/>
      <c r="GN746" s="9"/>
      <c r="GO746" s="9"/>
      <c r="GP746" s="9"/>
      <c r="GQ746" s="9"/>
    </row>
    <row r="747" spans="2:199" ht="15"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  <c r="EP747" s="9"/>
      <c r="EQ747" s="9"/>
      <c r="ER747" s="9"/>
      <c r="ES747" s="9"/>
      <c r="ET747" s="9"/>
      <c r="EU747" s="9"/>
      <c r="EV747" s="9"/>
      <c r="EW747" s="9"/>
      <c r="EX747" s="9"/>
      <c r="EY747" s="9"/>
      <c r="EZ747" s="9"/>
      <c r="FA747" s="9"/>
      <c r="FB747" s="9"/>
      <c r="FC747" s="9"/>
      <c r="FD747" s="9"/>
      <c r="FE747" s="9"/>
      <c r="FF747" s="9"/>
      <c r="FG747" s="9"/>
      <c r="FH747" s="9"/>
      <c r="FI747" s="9"/>
      <c r="FJ747" s="9"/>
      <c r="FK747" s="9"/>
      <c r="FL747" s="9"/>
      <c r="FM747" s="9"/>
      <c r="FN747" s="9"/>
      <c r="FO747" s="9"/>
      <c r="FP747" s="9"/>
      <c r="FQ747" s="9"/>
      <c r="FR747" s="9"/>
      <c r="FS747" s="9"/>
      <c r="FT747" s="9"/>
      <c r="FU747" s="9"/>
      <c r="FV747" s="9"/>
      <c r="FW747" s="9"/>
      <c r="FX747" s="9"/>
      <c r="FY747" s="9"/>
      <c r="FZ747" s="9"/>
      <c r="GA747" s="9"/>
      <c r="GB747" s="9"/>
      <c r="GC747" s="9"/>
      <c r="GD747" s="9"/>
      <c r="GE747" s="9"/>
      <c r="GF747" s="9"/>
      <c r="GG747" s="9"/>
      <c r="GH747" s="9"/>
      <c r="GI747" s="9"/>
      <c r="GJ747" s="9"/>
      <c r="GK747" s="9"/>
      <c r="GL747" s="9"/>
      <c r="GM747" s="9"/>
      <c r="GN747" s="9"/>
      <c r="GO747" s="9"/>
      <c r="GP747" s="9"/>
      <c r="GQ747" s="9"/>
    </row>
    <row r="748" spans="2:199" ht="15"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/>
      <c r="EG748" s="9"/>
      <c r="EH748" s="9"/>
      <c r="EI748" s="9"/>
      <c r="EJ748" s="9"/>
      <c r="EK748" s="9"/>
      <c r="EL748" s="9"/>
      <c r="EM748" s="9"/>
      <c r="EN748" s="9"/>
      <c r="EO748" s="9"/>
      <c r="EP748" s="9"/>
      <c r="EQ748" s="9"/>
      <c r="ER748" s="9"/>
      <c r="ES748" s="9"/>
      <c r="ET748" s="9"/>
      <c r="EU748" s="9"/>
      <c r="EV748" s="9"/>
      <c r="EW748" s="9"/>
      <c r="EX748" s="9"/>
      <c r="EY748" s="9"/>
      <c r="EZ748" s="9"/>
      <c r="FA748" s="9"/>
      <c r="FB748" s="9"/>
      <c r="FC748" s="9"/>
      <c r="FD748" s="9"/>
      <c r="FE748" s="9"/>
      <c r="FF748" s="9"/>
      <c r="FG748" s="9"/>
      <c r="FH748" s="9"/>
      <c r="FI748" s="9"/>
      <c r="FJ748" s="9"/>
      <c r="FK748" s="9"/>
      <c r="FL748" s="9"/>
      <c r="FM748" s="9"/>
      <c r="FN748" s="9"/>
      <c r="FO748" s="9"/>
      <c r="FP748" s="9"/>
      <c r="FQ748" s="9"/>
      <c r="FR748" s="9"/>
      <c r="FS748" s="9"/>
      <c r="FT748" s="9"/>
      <c r="FU748" s="9"/>
      <c r="FV748" s="9"/>
      <c r="FW748" s="9"/>
      <c r="FX748" s="9"/>
      <c r="FY748" s="9"/>
      <c r="FZ748" s="9"/>
      <c r="GA748" s="9"/>
      <c r="GB748" s="9"/>
      <c r="GC748" s="9"/>
      <c r="GD748" s="9"/>
      <c r="GE748" s="9"/>
      <c r="GF748" s="9"/>
      <c r="GG748" s="9"/>
      <c r="GH748" s="9"/>
      <c r="GI748" s="9"/>
      <c r="GJ748" s="9"/>
      <c r="GK748" s="9"/>
      <c r="GL748" s="9"/>
      <c r="GM748" s="9"/>
      <c r="GN748" s="9"/>
      <c r="GO748" s="9"/>
      <c r="GP748" s="9"/>
      <c r="GQ748" s="9"/>
    </row>
    <row r="749" spans="2:199" ht="15"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  <c r="EH749" s="9"/>
      <c r="EI749" s="9"/>
      <c r="EJ749" s="9"/>
      <c r="EK749" s="9"/>
      <c r="EL749" s="9"/>
      <c r="EM749" s="9"/>
      <c r="EN749" s="9"/>
      <c r="EO749" s="9"/>
      <c r="EP749" s="9"/>
      <c r="EQ749" s="9"/>
      <c r="ER749" s="9"/>
      <c r="ES749" s="9"/>
      <c r="ET749" s="9"/>
      <c r="EU749" s="9"/>
      <c r="EV749" s="9"/>
      <c r="EW749" s="9"/>
      <c r="EX749" s="9"/>
      <c r="EY749" s="9"/>
      <c r="EZ749" s="9"/>
      <c r="FA749" s="9"/>
      <c r="FB749" s="9"/>
      <c r="FC749" s="9"/>
      <c r="FD749" s="9"/>
      <c r="FE749" s="9"/>
      <c r="FF749" s="9"/>
      <c r="FG749" s="9"/>
      <c r="FH749" s="9"/>
      <c r="FI749" s="9"/>
      <c r="FJ749" s="9"/>
      <c r="FK749" s="9"/>
      <c r="FL749" s="9"/>
      <c r="FM749" s="9"/>
      <c r="FN749" s="9"/>
      <c r="FO749" s="9"/>
      <c r="FP749" s="9"/>
      <c r="FQ749" s="9"/>
      <c r="FR749" s="9"/>
      <c r="FS749" s="9"/>
      <c r="FT749" s="9"/>
      <c r="FU749" s="9"/>
      <c r="FV749" s="9"/>
      <c r="FW749" s="9"/>
      <c r="FX749" s="9"/>
      <c r="FY749" s="9"/>
      <c r="FZ749" s="9"/>
      <c r="GA749" s="9"/>
      <c r="GB749" s="9"/>
      <c r="GC749" s="9"/>
      <c r="GD749" s="9"/>
      <c r="GE749" s="9"/>
      <c r="GF749" s="9"/>
      <c r="GG749" s="9"/>
      <c r="GH749" s="9"/>
      <c r="GI749" s="9"/>
      <c r="GJ749" s="9"/>
      <c r="GK749" s="9"/>
      <c r="GL749" s="9"/>
      <c r="GM749" s="9"/>
      <c r="GN749" s="9"/>
      <c r="GO749" s="9"/>
      <c r="GP749" s="9"/>
      <c r="GQ749" s="9"/>
    </row>
    <row r="750" spans="2:199" ht="15"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  <c r="EH750" s="9"/>
      <c r="EI750" s="9"/>
      <c r="EJ750" s="9"/>
      <c r="EK750" s="9"/>
      <c r="EL750" s="9"/>
      <c r="EM750" s="9"/>
      <c r="EN750" s="9"/>
      <c r="EO750" s="9"/>
      <c r="EP750" s="9"/>
      <c r="EQ750" s="9"/>
      <c r="ER750" s="9"/>
      <c r="ES750" s="9"/>
      <c r="ET750" s="9"/>
      <c r="EU750" s="9"/>
      <c r="EV750" s="9"/>
      <c r="EW750" s="9"/>
      <c r="EX750" s="9"/>
      <c r="EY750" s="9"/>
      <c r="EZ750" s="9"/>
      <c r="FA750" s="9"/>
      <c r="FB750" s="9"/>
      <c r="FC750" s="9"/>
      <c r="FD750" s="9"/>
      <c r="FE750" s="9"/>
      <c r="FF750" s="9"/>
      <c r="FG750" s="9"/>
      <c r="FH750" s="9"/>
      <c r="FI750" s="9"/>
      <c r="FJ750" s="9"/>
      <c r="FK750" s="9"/>
      <c r="FL750" s="9"/>
      <c r="FM750" s="9"/>
      <c r="FN750" s="9"/>
      <c r="FO750" s="9"/>
      <c r="FP750" s="9"/>
      <c r="FQ750" s="9"/>
      <c r="FR750" s="9"/>
      <c r="FS750" s="9"/>
      <c r="FT750" s="9"/>
      <c r="FU750" s="9"/>
      <c r="FV750" s="9"/>
      <c r="FW750" s="9"/>
      <c r="FX750" s="9"/>
      <c r="FY750" s="9"/>
      <c r="FZ750" s="9"/>
      <c r="GA750" s="9"/>
      <c r="GB750" s="9"/>
      <c r="GC750" s="9"/>
      <c r="GD750" s="9"/>
      <c r="GE750" s="9"/>
      <c r="GF750" s="9"/>
      <c r="GG750" s="9"/>
      <c r="GH750" s="9"/>
      <c r="GI750" s="9"/>
      <c r="GJ750" s="9"/>
      <c r="GK750" s="9"/>
      <c r="GL750" s="9"/>
      <c r="GM750" s="9"/>
      <c r="GN750" s="9"/>
      <c r="GO750" s="9"/>
      <c r="GP750" s="9"/>
      <c r="GQ750" s="9"/>
    </row>
    <row r="751" spans="2:199" ht="15"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  <c r="EF751" s="9"/>
      <c r="EG751" s="9"/>
      <c r="EH751" s="9"/>
      <c r="EI751" s="9"/>
      <c r="EJ751" s="9"/>
      <c r="EK751" s="9"/>
      <c r="EL751" s="9"/>
      <c r="EM751" s="9"/>
      <c r="EN751" s="9"/>
      <c r="EO751" s="9"/>
      <c r="EP751" s="9"/>
      <c r="EQ751" s="9"/>
      <c r="ER751" s="9"/>
      <c r="ES751" s="9"/>
      <c r="ET751" s="9"/>
      <c r="EU751" s="9"/>
      <c r="EV751" s="9"/>
      <c r="EW751" s="9"/>
      <c r="EX751" s="9"/>
      <c r="EY751" s="9"/>
      <c r="EZ751" s="9"/>
      <c r="FA751" s="9"/>
      <c r="FB751" s="9"/>
      <c r="FC751" s="9"/>
      <c r="FD751" s="9"/>
      <c r="FE751" s="9"/>
      <c r="FF751" s="9"/>
      <c r="FG751" s="9"/>
      <c r="FH751" s="9"/>
      <c r="FI751" s="9"/>
      <c r="FJ751" s="9"/>
      <c r="FK751" s="9"/>
      <c r="FL751" s="9"/>
      <c r="FM751" s="9"/>
      <c r="FN751" s="9"/>
      <c r="FO751" s="9"/>
      <c r="FP751" s="9"/>
      <c r="FQ751" s="9"/>
      <c r="FR751" s="9"/>
      <c r="FS751" s="9"/>
      <c r="FT751" s="9"/>
      <c r="FU751" s="9"/>
      <c r="FV751" s="9"/>
      <c r="FW751" s="9"/>
      <c r="FX751" s="9"/>
      <c r="FY751" s="9"/>
      <c r="FZ751" s="9"/>
      <c r="GA751" s="9"/>
      <c r="GB751" s="9"/>
      <c r="GC751" s="9"/>
      <c r="GD751" s="9"/>
      <c r="GE751" s="9"/>
      <c r="GF751" s="9"/>
      <c r="GG751" s="9"/>
      <c r="GH751" s="9"/>
      <c r="GI751" s="9"/>
      <c r="GJ751" s="9"/>
      <c r="GK751" s="9"/>
      <c r="GL751" s="9"/>
      <c r="GM751" s="9"/>
      <c r="GN751" s="9"/>
      <c r="GO751" s="9"/>
      <c r="GP751" s="9"/>
      <c r="GQ751" s="9"/>
    </row>
    <row r="752" spans="2:199" ht="15"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  <c r="EH752" s="9"/>
      <c r="EI752" s="9"/>
      <c r="EJ752" s="9"/>
      <c r="EK752" s="9"/>
      <c r="EL752" s="9"/>
      <c r="EM752" s="9"/>
      <c r="EN752" s="9"/>
      <c r="EO752" s="9"/>
      <c r="EP752" s="9"/>
      <c r="EQ752" s="9"/>
      <c r="ER752" s="9"/>
      <c r="ES752" s="9"/>
      <c r="ET752" s="9"/>
      <c r="EU752" s="9"/>
      <c r="EV752" s="9"/>
      <c r="EW752" s="9"/>
      <c r="EX752" s="9"/>
      <c r="EY752" s="9"/>
      <c r="EZ752" s="9"/>
      <c r="FA752" s="9"/>
      <c r="FB752" s="9"/>
      <c r="FC752" s="9"/>
      <c r="FD752" s="9"/>
      <c r="FE752" s="9"/>
      <c r="FF752" s="9"/>
      <c r="FG752" s="9"/>
      <c r="FH752" s="9"/>
      <c r="FI752" s="9"/>
      <c r="FJ752" s="9"/>
      <c r="FK752" s="9"/>
      <c r="FL752" s="9"/>
      <c r="FM752" s="9"/>
      <c r="FN752" s="9"/>
      <c r="FO752" s="9"/>
      <c r="FP752" s="9"/>
      <c r="FQ752" s="9"/>
      <c r="FR752" s="9"/>
      <c r="FS752" s="9"/>
      <c r="FT752" s="9"/>
      <c r="FU752" s="9"/>
      <c r="FV752" s="9"/>
      <c r="FW752" s="9"/>
      <c r="FX752" s="9"/>
      <c r="FY752" s="9"/>
      <c r="FZ752" s="9"/>
      <c r="GA752" s="9"/>
      <c r="GB752" s="9"/>
      <c r="GC752" s="9"/>
      <c r="GD752" s="9"/>
      <c r="GE752" s="9"/>
      <c r="GF752" s="9"/>
      <c r="GG752" s="9"/>
      <c r="GH752" s="9"/>
      <c r="GI752" s="9"/>
      <c r="GJ752" s="9"/>
      <c r="GK752" s="9"/>
      <c r="GL752" s="9"/>
      <c r="GM752" s="9"/>
      <c r="GN752" s="9"/>
      <c r="GO752" s="9"/>
      <c r="GP752" s="9"/>
      <c r="GQ752" s="9"/>
    </row>
    <row r="753" spans="2:199" ht="15"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  <c r="EH753" s="9"/>
      <c r="EI753" s="9"/>
      <c r="EJ753" s="9"/>
      <c r="EK753" s="9"/>
      <c r="EL753" s="9"/>
      <c r="EM753" s="9"/>
      <c r="EN753" s="9"/>
      <c r="EO753" s="9"/>
      <c r="EP753" s="9"/>
      <c r="EQ753" s="9"/>
      <c r="ER753" s="9"/>
      <c r="ES753" s="9"/>
      <c r="ET753" s="9"/>
      <c r="EU753" s="9"/>
      <c r="EV753" s="9"/>
      <c r="EW753" s="9"/>
      <c r="EX753" s="9"/>
      <c r="EY753" s="9"/>
      <c r="EZ753" s="9"/>
      <c r="FA753" s="9"/>
      <c r="FB753" s="9"/>
      <c r="FC753" s="9"/>
      <c r="FD753" s="9"/>
      <c r="FE753" s="9"/>
      <c r="FF753" s="9"/>
      <c r="FG753" s="9"/>
      <c r="FH753" s="9"/>
      <c r="FI753" s="9"/>
      <c r="FJ753" s="9"/>
      <c r="FK753" s="9"/>
      <c r="FL753" s="9"/>
      <c r="FM753" s="9"/>
      <c r="FN753" s="9"/>
      <c r="FO753" s="9"/>
      <c r="FP753" s="9"/>
      <c r="FQ753" s="9"/>
      <c r="FR753" s="9"/>
      <c r="FS753" s="9"/>
      <c r="FT753" s="9"/>
      <c r="FU753" s="9"/>
      <c r="FV753" s="9"/>
      <c r="FW753" s="9"/>
      <c r="FX753" s="9"/>
      <c r="FY753" s="9"/>
      <c r="FZ753" s="9"/>
      <c r="GA753" s="9"/>
      <c r="GB753" s="9"/>
      <c r="GC753" s="9"/>
      <c r="GD753" s="9"/>
      <c r="GE753" s="9"/>
      <c r="GF753" s="9"/>
      <c r="GG753" s="9"/>
      <c r="GH753" s="9"/>
      <c r="GI753" s="9"/>
      <c r="GJ753" s="9"/>
      <c r="GK753" s="9"/>
      <c r="GL753" s="9"/>
      <c r="GM753" s="9"/>
      <c r="GN753" s="9"/>
      <c r="GO753" s="9"/>
      <c r="GP753" s="9"/>
      <c r="GQ753" s="9"/>
    </row>
    <row r="754" spans="2:199" ht="15"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  <c r="EH754" s="9"/>
      <c r="EI754" s="9"/>
      <c r="EJ754" s="9"/>
      <c r="EK754" s="9"/>
      <c r="EL754" s="9"/>
      <c r="EM754" s="9"/>
      <c r="EN754" s="9"/>
      <c r="EO754" s="9"/>
      <c r="EP754" s="9"/>
      <c r="EQ754" s="9"/>
      <c r="ER754" s="9"/>
      <c r="ES754" s="9"/>
      <c r="ET754" s="9"/>
      <c r="EU754" s="9"/>
      <c r="EV754" s="9"/>
      <c r="EW754" s="9"/>
      <c r="EX754" s="9"/>
      <c r="EY754" s="9"/>
      <c r="EZ754" s="9"/>
      <c r="FA754" s="9"/>
      <c r="FB754" s="9"/>
      <c r="FC754" s="9"/>
      <c r="FD754" s="9"/>
      <c r="FE754" s="9"/>
      <c r="FF754" s="9"/>
      <c r="FG754" s="9"/>
      <c r="FH754" s="9"/>
      <c r="FI754" s="9"/>
      <c r="FJ754" s="9"/>
      <c r="FK754" s="9"/>
      <c r="FL754" s="9"/>
      <c r="FM754" s="9"/>
      <c r="FN754" s="9"/>
      <c r="FO754" s="9"/>
      <c r="FP754" s="9"/>
      <c r="FQ754" s="9"/>
      <c r="FR754" s="9"/>
      <c r="FS754" s="9"/>
      <c r="FT754" s="9"/>
      <c r="FU754" s="9"/>
      <c r="FV754" s="9"/>
      <c r="FW754" s="9"/>
      <c r="FX754" s="9"/>
      <c r="FY754" s="9"/>
      <c r="FZ754" s="9"/>
      <c r="GA754" s="9"/>
      <c r="GB754" s="9"/>
      <c r="GC754" s="9"/>
      <c r="GD754" s="9"/>
      <c r="GE754" s="9"/>
      <c r="GF754" s="9"/>
      <c r="GG754" s="9"/>
      <c r="GH754" s="9"/>
      <c r="GI754" s="9"/>
      <c r="GJ754" s="9"/>
      <c r="GK754" s="9"/>
      <c r="GL754" s="9"/>
      <c r="GM754" s="9"/>
      <c r="GN754" s="9"/>
      <c r="GO754" s="9"/>
      <c r="GP754" s="9"/>
      <c r="GQ754" s="9"/>
    </row>
    <row r="755" spans="2:199" ht="15"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  <c r="EI755" s="9"/>
      <c r="EJ755" s="9"/>
      <c r="EK755" s="9"/>
      <c r="EL755" s="9"/>
      <c r="EM755" s="9"/>
      <c r="EN755" s="9"/>
      <c r="EO755" s="9"/>
      <c r="EP755" s="9"/>
      <c r="EQ755" s="9"/>
      <c r="ER755" s="9"/>
      <c r="ES755" s="9"/>
      <c r="ET755" s="9"/>
      <c r="EU755" s="9"/>
      <c r="EV755" s="9"/>
      <c r="EW755" s="9"/>
      <c r="EX755" s="9"/>
      <c r="EY755" s="9"/>
      <c r="EZ755" s="9"/>
      <c r="FA755" s="9"/>
      <c r="FB755" s="9"/>
      <c r="FC755" s="9"/>
      <c r="FD755" s="9"/>
      <c r="FE755" s="9"/>
      <c r="FF755" s="9"/>
      <c r="FG755" s="9"/>
      <c r="FH755" s="9"/>
      <c r="FI755" s="9"/>
      <c r="FJ755" s="9"/>
      <c r="FK755" s="9"/>
      <c r="FL755" s="9"/>
      <c r="FM755" s="9"/>
      <c r="FN755" s="9"/>
      <c r="FO755" s="9"/>
      <c r="FP755" s="9"/>
      <c r="FQ755" s="9"/>
      <c r="FR755" s="9"/>
      <c r="FS755" s="9"/>
      <c r="FT755" s="9"/>
      <c r="FU755" s="9"/>
      <c r="FV755" s="9"/>
      <c r="FW755" s="9"/>
      <c r="FX755" s="9"/>
      <c r="FY755" s="9"/>
      <c r="FZ755" s="9"/>
      <c r="GA755" s="9"/>
      <c r="GB755" s="9"/>
      <c r="GC755" s="9"/>
      <c r="GD755" s="9"/>
      <c r="GE755" s="9"/>
      <c r="GF755" s="9"/>
      <c r="GG755" s="9"/>
      <c r="GH755" s="9"/>
      <c r="GI755" s="9"/>
      <c r="GJ755" s="9"/>
      <c r="GK755" s="9"/>
      <c r="GL755" s="9"/>
      <c r="GM755" s="9"/>
      <c r="GN755" s="9"/>
      <c r="GO755" s="9"/>
      <c r="GP755" s="9"/>
      <c r="GQ755" s="9"/>
    </row>
    <row r="756" spans="2:199" ht="15"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  <c r="EH756" s="9"/>
      <c r="EI756" s="9"/>
      <c r="EJ756" s="9"/>
      <c r="EK756" s="9"/>
      <c r="EL756" s="9"/>
      <c r="EM756" s="9"/>
      <c r="EN756" s="9"/>
      <c r="EO756" s="9"/>
      <c r="EP756" s="9"/>
      <c r="EQ756" s="9"/>
      <c r="ER756" s="9"/>
      <c r="ES756" s="9"/>
      <c r="ET756" s="9"/>
      <c r="EU756" s="9"/>
      <c r="EV756" s="9"/>
      <c r="EW756" s="9"/>
      <c r="EX756" s="9"/>
      <c r="EY756" s="9"/>
      <c r="EZ756" s="9"/>
      <c r="FA756" s="9"/>
      <c r="FB756" s="9"/>
      <c r="FC756" s="9"/>
      <c r="FD756" s="9"/>
      <c r="FE756" s="9"/>
      <c r="FF756" s="9"/>
      <c r="FG756" s="9"/>
      <c r="FH756" s="9"/>
      <c r="FI756" s="9"/>
      <c r="FJ756" s="9"/>
      <c r="FK756" s="9"/>
      <c r="FL756" s="9"/>
      <c r="FM756" s="9"/>
      <c r="FN756" s="9"/>
      <c r="FO756" s="9"/>
      <c r="FP756" s="9"/>
      <c r="FQ756" s="9"/>
      <c r="FR756" s="9"/>
      <c r="FS756" s="9"/>
      <c r="FT756" s="9"/>
      <c r="FU756" s="9"/>
      <c r="FV756" s="9"/>
      <c r="FW756" s="9"/>
      <c r="FX756" s="9"/>
      <c r="FY756" s="9"/>
      <c r="FZ756" s="9"/>
      <c r="GA756" s="9"/>
      <c r="GB756" s="9"/>
      <c r="GC756" s="9"/>
      <c r="GD756" s="9"/>
      <c r="GE756" s="9"/>
      <c r="GF756" s="9"/>
      <c r="GG756" s="9"/>
      <c r="GH756" s="9"/>
      <c r="GI756" s="9"/>
      <c r="GJ756" s="9"/>
      <c r="GK756" s="9"/>
      <c r="GL756" s="9"/>
      <c r="GM756" s="9"/>
      <c r="GN756" s="9"/>
      <c r="GO756" s="9"/>
      <c r="GP756" s="9"/>
      <c r="GQ756" s="9"/>
    </row>
    <row r="757" spans="2:199" ht="15"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  <c r="EI757" s="9"/>
      <c r="EJ757" s="9"/>
      <c r="EK757" s="9"/>
      <c r="EL757" s="9"/>
      <c r="EM757" s="9"/>
      <c r="EN757" s="9"/>
      <c r="EO757" s="9"/>
      <c r="EP757" s="9"/>
      <c r="EQ757" s="9"/>
      <c r="ER757" s="9"/>
      <c r="ES757" s="9"/>
      <c r="ET757" s="9"/>
      <c r="EU757" s="9"/>
      <c r="EV757" s="9"/>
      <c r="EW757" s="9"/>
      <c r="EX757" s="9"/>
      <c r="EY757" s="9"/>
      <c r="EZ757" s="9"/>
      <c r="FA757" s="9"/>
      <c r="FB757" s="9"/>
      <c r="FC757" s="9"/>
      <c r="FD757" s="9"/>
      <c r="FE757" s="9"/>
      <c r="FF757" s="9"/>
      <c r="FG757" s="9"/>
      <c r="FH757" s="9"/>
      <c r="FI757" s="9"/>
      <c r="FJ757" s="9"/>
      <c r="FK757" s="9"/>
      <c r="FL757" s="9"/>
      <c r="FM757" s="9"/>
      <c r="FN757" s="9"/>
      <c r="FO757" s="9"/>
      <c r="FP757" s="9"/>
      <c r="FQ757" s="9"/>
      <c r="FR757" s="9"/>
      <c r="FS757" s="9"/>
      <c r="FT757" s="9"/>
      <c r="FU757" s="9"/>
      <c r="FV757" s="9"/>
      <c r="FW757" s="9"/>
      <c r="FX757" s="9"/>
      <c r="FY757" s="9"/>
      <c r="FZ757" s="9"/>
      <c r="GA757" s="9"/>
      <c r="GB757" s="9"/>
      <c r="GC757" s="9"/>
      <c r="GD757" s="9"/>
      <c r="GE757" s="9"/>
      <c r="GF757" s="9"/>
      <c r="GG757" s="9"/>
      <c r="GH757" s="9"/>
      <c r="GI757" s="9"/>
      <c r="GJ757" s="9"/>
      <c r="GK757" s="9"/>
      <c r="GL757" s="9"/>
      <c r="GM757" s="9"/>
      <c r="GN757" s="9"/>
      <c r="GO757" s="9"/>
      <c r="GP757" s="9"/>
      <c r="GQ757" s="9"/>
    </row>
    <row r="758" spans="2:199" ht="15"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  <c r="EI758" s="9"/>
      <c r="EJ758" s="9"/>
      <c r="EK758" s="9"/>
      <c r="EL758" s="9"/>
      <c r="EM758" s="9"/>
      <c r="EN758" s="9"/>
      <c r="EO758" s="9"/>
      <c r="EP758" s="9"/>
      <c r="EQ758" s="9"/>
      <c r="ER758" s="9"/>
      <c r="ES758" s="9"/>
      <c r="ET758" s="9"/>
      <c r="EU758" s="9"/>
      <c r="EV758" s="9"/>
      <c r="EW758" s="9"/>
      <c r="EX758" s="9"/>
      <c r="EY758" s="9"/>
      <c r="EZ758" s="9"/>
      <c r="FA758" s="9"/>
      <c r="FB758" s="9"/>
      <c r="FC758" s="9"/>
      <c r="FD758" s="9"/>
      <c r="FE758" s="9"/>
      <c r="FF758" s="9"/>
      <c r="FG758" s="9"/>
      <c r="FH758" s="9"/>
      <c r="FI758" s="9"/>
      <c r="FJ758" s="9"/>
      <c r="FK758" s="9"/>
      <c r="FL758" s="9"/>
      <c r="FM758" s="9"/>
      <c r="FN758" s="9"/>
      <c r="FO758" s="9"/>
      <c r="FP758" s="9"/>
      <c r="FQ758" s="9"/>
      <c r="FR758" s="9"/>
      <c r="FS758" s="9"/>
      <c r="FT758" s="9"/>
      <c r="FU758" s="9"/>
      <c r="FV758" s="9"/>
      <c r="FW758" s="9"/>
      <c r="FX758" s="9"/>
      <c r="FY758" s="9"/>
      <c r="FZ758" s="9"/>
      <c r="GA758" s="9"/>
      <c r="GB758" s="9"/>
      <c r="GC758" s="9"/>
      <c r="GD758" s="9"/>
      <c r="GE758" s="9"/>
      <c r="GF758" s="9"/>
      <c r="GG758" s="9"/>
      <c r="GH758" s="9"/>
      <c r="GI758" s="9"/>
      <c r="GJ758" s="9"/>
      <c r="GK758" s="9"/>
      <c r="GL758" s="9"/>
      <c r="GM758" s="9"/>
      <c r="GN758" s="9"/>
      <c r="GO758" s="9"/>
      <c r="GP758" s="9"/>
      <c r="GQ758" s="9"/>
    </row>
    <row r="759" spans="2:199" ht="15"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/>
      <c r="EG759" s="9"/>
      <c r="EH759" s="9"/>
      <c r="EI759" s="9"/>
      <c r="EJ759" s="9"/>
      <c r="EK759" s="9"/>
      <c r="EL759" s="9"/>
      <c r="EM759" s="9"/>
      <c r="EN759" s="9"/>
      <c r="EO759" s="9"/>
      <c r="EP759" s="9"/>
      <c r="EQ759" s="9"/>
      <c r="ER759" s="9"/>
      <c r="ES759" s="9"/>
      <c r="ET759" s="9"/>
      <c r="EU759" s="9"/>
      <c r="EV759" s="9"/>
      <c r="EW759" s="9"/>
      <c r="EX759" s="9"/>
      <c r="EY759" s="9"/>
      <c r="EZ759" s="9"/>
      <c r="FA759" s="9"/>
      <c r="FB759" s="9"/>
      <c r="FC759" s="9"/>
      <c r="FD759" s="9"/>
      <c r="FE759" s="9"/>
      <c r="FF759" s="9"/>
      <c r="FG759" s="9"/>
      <c r="FH759" s="9"/>
      <c r="FI759" s="9"/>
      <c r="FJ759" s="9"/>
      <c r="FK759" s="9"/>
      <c r="FL759" s="9"/>
      <c r="FM759" s="9"/>
      <c r="FN759" s="9"/>
      <c r="FO759" s="9"/>
      <c r="FP759" s="9"/>
      <c r="FQ759" s="9"/>
      <c r="FR759" s="9"/>
      <c r="FS759" s="9"/>
      <c r="FT759" s="9"/>
      <c r="FU759" s="9"/>
      <c r="FV759" s="9"/>
      <c r="FW759" s="9"/>
      <c r="FX759" s="9"/>
      <c r="FY759" s="9"/>
      <c r="FZ759" s="9"/>
      <c r="GA759" s="9"/>
      <c r="GB759" s="9"/>
      <c r="GC759" s="9"/>
      <c r="GD759" s="9"/>
      <c r="GE759" s="9"/>
      <c r="GF759" s="9"/>
      <c r="GG759" s="9"/>
      <c r="GH759" s="9"/>
      <c r="GI759" s="9"/>
      <c r="GJ759" s="9"/>
      <c r="GK759" s="9"/>
      <c r="GL759" s="9"/>
      <c r="GM759" s="9"/>
      <c r="GN759" s="9"/>
      <c r="GO759" s="9"/>
      <c r="GP759" s="9"/>
      <c r="GQ759" s="9"/>
    </row>
    <row r="760" spans="2:199" ht="15"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  <c r="EH760" s="9"/>
      <c r="EI760" s="9"/>
      <c r="EJ760" s="9"/>
      <c r="EK760" s="9"/>
      <c r="EL760" s="9"/>
      <c r="EM760" s="9"/>
      <c r="EN760" s="9"/>
      <c r="EO760" s="9"/>
      <c r="EP760" s="9"/>
      <c r="EQ760" s="9"/>
      <c r="ER760" s="9"/>
      <c r="ES760" s="9"/>
      <c r="ET760" s="9"/>
      <c r="EU760" s="9"/>
      <c r="EV760" s="9"/>
      <c r="EW760" s="9"/>
      <c r="EX760" s="9"/>
      <c r="EY760" s="9"/>
      <c r="EZ760" s="9"/>
      <c r="FA760" s="9"/>
      <c r="FB760" s="9"/>
      <c r="FC760" s="9"/>
      <c r="FD760" s="9"/>
      <c r="FE760" s="9"/>
      <c r="FF760" s="9"/>
      <c r="FG760" s="9"/>
      <c r="FH760" s="9"/>
      <c r="FI760" s="9"/>
      <c r="FJ760" s="9"/>
      <c r="FK760" s="9"/>
      <c r="FL760" s="9"/>
      <c r="FM760" s="9"/>
      <c r="FN760" s="9"/>
      <c r="FO760" s="9"/>
      <c r="FP760" s="9"/>
      <c r="FQ760" s="9"/>
      <c r="FR760" s="9"/>
      <c r="FS760" s="9"/>
      <c r="FT760" s="9"/>
      <c r="FU760" s="9"/>
      <c r="FV760" s="9"/>
      <c r="FW760" s="9"/>
      <c r="FX760" s="9"/>
      <c r="FY760" s="9"/>
      <c r="FZ760" s="9"/>
      <c r="GA760" s="9"/>
      <c r="GB760" s="9"/>
      <c r="GC760" s="9"/>
      <c r="GD760" s="9"/>
      <c r="GE760" s="9"/>
      <c r="GF760" s="9"/>
      <c r="GG760" s="9"/>
      <c r="GH760" s="9"/>
      <c r="GI760" s="9"/>
      <c r="GJ760" s="9"/>
      <c r="GK760" s="9"/>
      <c r="GL760" s="9"/>
      <c r="GM760" s="9"/>
      <c r="GN760" s="9"/>
      <c r="GO760" s="9"/>
      <c r="GP760" s="9"/>
      <c r="GQ760" s="9"/>
    </row>
    <row r="761" spans="2:199" ht="15"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  <c r="EI761" s="9"/>
      <c r="EJ761" s="9"/>
      <c r="EK761" s="9"/>
      <c r="EL761" s="9"/>
      <c r="EM761" s="9"/>
      <c r="EN761" s="9"/>
      <c r="EO761" s="9"/>
      <c r="EP761" s="9"/>
      <c r="EQ761" s="9"/>
      <c r="ER761" s="9"/>
      <c r="ES761" s="9"/>
      <c r="ET761" s="9"/>
      <c r="EU761" s="9"/>
      <c r="EV761" s="9"/>
      <c r="EW761" s="9"/>
      <c r="EX761" s="9"/>
      <c r="EY761" s="9"/>
      <c r="EZ761" s="9"/>
      <c r="FA761" s="9"/>
      <c r="FB761" s="9"/>
      <c r="FC761" s="9"/>
      <c r="FD761" s="9"/>
      <c r="FE761" s="9"/>
      <c r="FF761" s="9"/>
      <c r="FG761" s="9"/>
      <c r="FH761" s="9"/>
      <c r="FI761" s="9"/>
      <c r="FJ761" s="9"/>
      <c r="FK761" s="9"/>
      <c r="FL761" s="9"/>
      <c r="FM761" s="9"/>
      <c r="FN761" s="9"/>
      <c r="FO761" s="9"/>
      <c r="FP761" s="9"/>
      <c r="FQ761" s="9"/>
      <c r="FR761" s="9"/>
      <c r="FS761" s="9"/>
      <c r="FT761" s="9"/>
      <c r="FU761" s="9"/>
      <c r="FV761" s="9"/>
      <c r="FW761" s="9"/>
      <c r="FX761" s="9"/>
      <c r="FY761" s="9"/>
      <c r="FZ761" s="9"/>
      <c r="GA761" s="9"/>
      <c r="GB761" s="9"/>
      <c r="GC761" s="9"/>
      <c r="GD761" s="9"/>
      <c r="GE761" s="9"/>
      <c r="GF761" s="9"/>
      <c r="GG761" s="9"/>
      <c r="GH761" s="9"/>
      <c r="GI761" s="9"/>
      <c r="GJ761" s="9"/>
      <c r="GK761" s="9"/>
      <c r="GL761" s="9"/>
      <c r="GM761" s="9"/>
      <c r="GN761" s="9"/>
      <c r="GO761" s="9"/>
      <c r="GP761" s="9"/>
      <c r="GQ761" s="9"/>
    </row>
    <row r="762" spans="2:199" ht="15"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  <c r="ER762" s="9"/>
      <c r="ES762" s="9"/>
      <c r="ET762" s="9"/>
      <c r="EU762" s="9"/>
      <c r="EV762" s="9"/>
      <c r="EW762" s="9"/>
      <c r="EX762" s="9"/>
      <c r="EY762" s="9"/>
      <c r="EZ762" s="9"/>
      <c r="FA762" s="9"/>
      <c r="FB762" s="9"/>
      <c r="FC762" s="9"/>
      <c r="FD762" s="9"/>
      <c r="FE762" s="9"/>
      <c r="FF762" s="9"/>
      <c r="FG762" s="9"/>
      <c r="FH762" s="9"/>
      <c r="FI762" s="9"/>
      <c r="FJ762" s="9"/>
      <c r="FK762" s="9"/>
      <c r="FL762" s="9"/>
      <c r="FM762" s="9"/>
      <c r="FN762" s="9"/>
      <c r="FO762" s="9"/>
      <c r="FP762" s="9"/>
      <c r="FQ762" s="9"/>
      <c r="FR762" s="9"/>
      <c r="FS762" s="9"/>
      <c r="FT762" s="9"/>
      <c r="FU762" s="9"/>
      <c r="FV762" s="9"/>
      <c r="FW762" s="9"/>
      <c r="FX762" s="9"/>
      <c r="FY762" s="9"/>
      <c r="FZ762" s="9"/>
      <c r="GA762" s="9"/>
      <c r="GB762" s="9"/>
      <c r="GC762" s="9"/>
      <c r="GD762" s="9"/>
      <c r="GE762" s="9"/>
      <c r="GF762" s="9"/>
      <c r="GG762" s="9"/>
      <c r="GH762" s="9"/>
      <c r="GI762" s="9"/>
      <c r="GJ762" s="9"/>
      <c r="GK762" s="9"/>
      <c r="GL762" s="9"/>
      <c r="GM762" s="9"/>
      <c r="GN762" s="9"/>
      <c r="GO762" s="9"/>
      <c r="GP762" s="9"/>
      <c r="GQ762" s="9"/>
    </row>
    <row r="763" spans="2:199" ht="15"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  <c r="EP763" s="9"/>
      <c r="EQ763" s="9"/>
      <c r="ER763" s="9"/>
      <c r="ES763" s="9"/>
      <c r="ET763" s="9"/>
      <c r="EU763" s="9"/>
      <c r="EV763" s="9"/>
      <c r="EW763" s="9"/>
      <c r="EX763" s="9"/>
      <c r="EY763" s="9"/>
      <c r="EZ763" s="9"/>
      <c r="FA763" s="9"/>
      <c r="FB763" s="9"/>
      <c r="FC763" s="9"/>
      <c r="FD763" s="9"/>
      <c r="FE763" s="9"/>
      <c r="FF763" s="9"/>
      <c r="FG763" s="9"/>
      <c r="FH763" s="9"/>
      <c r="FI763" s="9"/>
      <c r="FJ763" s="9"/>
      <c r="FK763" s="9"/>
      <c r="FL763" s="9"/>
      <c r="FM763" s="9"/>
      <c r="FN763" s="9"/>
      <c r="FO763" s="9"/>
      <c r="FP763" s="9"/>
      <c r="FQ763" s="9"/>
      <c r="FR763" s="9"/>
      <c r="FS763" s="9"/>
      <c r="FT763" s="9"/>
      <c r="FU763" s="9"/>
      <c r="FV763" s="9"/>
      <c r="FW763" s="9"/>
      <c r="FX763" s="9"/>
      <c r="FY763" s="9"/>
      <c r="FZ763" s="9"/>
      <c r="GA763" s="9"/>
      <c r="GB763" s="9"/>
      <c r="GC763" s="9"/>
      <c r="GD763" s="9"/>
      <c r="GE763" s="9"/>
      <c r="GF763" s="9"/>
      <c r="GG763" s="9"/>
      <c r="GH763" s="9"/>
      <c r="GI763" s="9"/>
      <c r="GJ763" s="9"/>
      <c r="GK763" s="9"/>
      <c r="GL763" s="9"/>
      <c r="GM763" s="9"/>
      <c r="GN763" s="9"/>
      <c r="GO763" s="9"/>
      <c r="GP763" s="9"/>
      <c r="GQ763" s="9"/>
    </row>
    <row r="764" spans="2:199" ht="15"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  <c r="EC764" s="9"/>
      <c r="ED764" s="9"/>
      <c r="EE764" s="9"/>
      <c r="EF764" s="9"/>
      <c r="EG764" s="9"/>
      <c r="EH764" s="9"/>
      <c r="EI764" s="9"/>
      <c r="EJ764" s="9"/>
      <c r="EK764" s="9"/>
      <c r="EL764" s="9"/>
      <c r="EM764" s="9"/>
      <c r="EN764" s="9"/>
      <c r="EO764" s="9"/>
      <c r="EP764" s="9"/>
      <c r="EQ764" s="9"/>
      <c r="ER764" s="9"/>
      <c r="ES764" s="9"/>
      <c r="ET764" s="9"/>
      <c r="EU764" s="9"/>
      <c r="EV764" s="9"/>
      <c r="EW764" s="9"/>
      <c r="EX764" s="9"/>
      <c r="EY764" s="9"/>
      <c r="EZ764" s="9"/>
      <c r="FA764" s="9"/>
      <c r="FB764" s="9"/>
      <c r="FC764" s="9"/>
      <c r="FD764" s="9"/>
      <c r="FE764" s="9"/>
      <c r="FF764" s="9"/>
      <c r="FG764" s="9"/>
      <c r="FH764" s="9"/>
      <c r="FI764" s="9"/>
      <c r="FJ764" s="9"/>
      <c r="FK764" s="9"/>
      <c r="FL764" s="9"/>
      <c r="FM764" s="9"/>
      <c r="FN764" s="9"/>
      <c r="FO764" s="9"/>
      <c r="FP764" s="9"/>
      <c r="FQ764" s="9"/>
      <c r="FR764" s="9"/>
      <c r="FS764" s="9"/>
      <c r="FT764" s="9"/>
      <c r="FU764" s="9"/>
      <c r="FV764" s="9"/>
      <c r="FW764" s="9"/>
      <c r="FX764" s="9"/>
      <c r="FY764" s="9"/>
      <c r="FZ764" s="9"/>
      <c r="GA764" s="9"/>
      <c r="GB764" s="9"/>
      <c r="GC764" s="9"/>
      <c r="GD764" s="9"/>
      <c r="GE764" s="9"/>
      <c r="GF764" s="9"/>
      <c r="GG764" s="9"/>
      <c r="GH764" s="9"/>
      <c r="GI764" s="9"/>
      <c r="GJ764" s="9"/>
      <c r="GK764" s="9"/>
      <c r="GL764" s="9"/>
      <c r="GM764" s="9"/>
      <c r="GN764" s="9"/>
      <c r="GO764" s="9"/>
      <c r="GP764" s="9"/>
      <c r="GQ764" s="9"/>
    </row>
    <row r="765" spans="2:199" ht="15"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  <c r="EH765" s="9"/>
      <c r="EI765" s="9"/>
      <c r="EJ765" s="9"/>
      <c r="EK765" s="9"/>
      <c r="EL765" s="9"/>
      <c r="EM765" s="9"/>
      <c r="EN765" s="9"/>
      <c r="EO765" s="9"/>
      <c r="EP765" s="9"/>
      <c r="EQ765" s="9"/>
      <c r="ER765" s="9"/>
      <c r="ES765" s="9"/>
      <c r="ET765" s="9"/>
      <c r="EU765" s="9"/>
      <c r="EV765" s="9"/>
      <c r="EW765" s="9"/>
      <c r="EX765" s="9"/>
      <c r="EY765" s="9"/>
      <c r="EZ765" s="9"/>
      <c r="FA765" s="9"/>
      <c r="FB765" s="9"/>
      <c r="FC765" s="9"/>
      <c r="FD765" s="9"/>
      <c r="FE765" s="9"/>
      <c r="FF765" s="9"/>
      <c r="FG765" s="9"/>
      <c r="FH765" s="9"/>
      <c r="FI765" s="9"/>
      <c r="FJ765" s="9"/>
      <c r="FK765" s="9"/>
      <c r="FL765" s="9"/>
      <c r="FM765" s="9"/>
      <c r="FN765" s="9"/>
      <c r="FO765" s="9"/>
      <c r="FP765" s="9"/>
      <c r="FQ765" s="9"/>
      <c r="FR765" s="9"/>
      <c r="FS765" s="9"/>
      <c r="FT765" s="9"/>
      <c r="FU765" s="9"/>
      <c r="FV765" s="9"/>
      <c r="FW765" s="9"/>
      <c r="FX765" s="9"/>
      <c r="FY765" s="9"/>
      <c r="FZ765" s="9"/>
      <c r="GA765" s="9"/>
      <c r="GB765" s="9"/>
      <c r="GC765" s="9"/>
      <c r="GD765" s="9"/>
      <c r="GE765" s="9"/>
      <c r="GF765" s="9"/>
      <c r="GG765" s="9"/>
      <c r="GH765" s="9"/>
      <c r="GI765" s="9"/>
      <c r="GJ765" s="9"/>
      <c r="GK765" s="9"/>
      <c r="GL765" s="9"/>
      <c r="GM765" s="9"/>
      <c r="GN765" s="9"/>
      <c r="GO765" s="9"/>
      <c r="GP765" s="9"/>
      <c r="GQ765" s="9"/>
    </row>
    <row r="766" spans="2:199" ht="15"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  <c r="EF766" s="9"/>
      <c r="EG766" s="9"/>
      <c r="EH766" s="9"/>
      <c r="EI766" s="9"/>
      <c r="EJ766" s="9"/>
      <c r="EK766" s="9"/>
      <c r="EL766" s="9"/>
      <c r="EM766" s="9"/>
      <c r="EN766" s="9"/>
      <c r="EO766" s="9"/>
      <c r="EP766" s="9"/>
      <c r="EQ766" s="9"/>
      <c r="ER766" s="9"/>
      <c r="ES766" s="9"/>
      <c r="ET766" s="9"/>
      <c r="EU766" s="9"/>
      <c r="EV766" s="9"/>
      <c r="EW766" s="9"/>
      <c r="EX766" s="9"/>
      <c r="EY766" s="9"/>
      <c r="EZ766" s="9"/>
      <c r="FA766" s="9"/>
      <c r="FB766" s="9"/>
      <c r="FC766" s="9"/>
      <c r="FD766" s="9"/>
      <c r="FE766" s="9"/>
      <c r="FF766" s="9"/>
      <c r="FG766" s="9"/>
      <c r="FH766" s="9"/>
      <c r="FI766" s="9"/>
      <c r="FJ766" s="9"/>
      <c r="FK766" s="9"/>
      <c r="FL766" s="9"/>
      <c r="FM766" s="9"/>
      <c r="FN766" s="9"/>
      <c r="FO766" s="9"/>
      <c r="FP766" s="9"/>
      <c r="FQ766" s="9"/>
      <c r="FR766" s="9"/>
      <c r="FS766" s="9"/>
      <c r="FT766" s="9"/>
      <c r="FU766" s="9"/>
      <c r="FV766" s="9"/>
      <c r="FW766" s="9"/>
      <c r="FX766" s="9"/>
      <c r="FY766" s="9"/>
      <c r="FZ766" s="9"/>
      <c r="GA766" s="9"/>
      <c r="GB766" s="9"/>
      <c r="GC766" s="9"/>
      <c r="GD766" s="9"/>
      <c r="GE766" s="9"/>
      <c r="GF766" s="9"/>
      <c r="GG766" s="9"/>
      <c r="GH766" s="9"/>
      <c r="GI766" s="9"/>
      <c r="GJ766" s="9"/>
      <c r="GK766" s="9"/>
      <c r="GL766" s="9"/>
      <c r="GM766" s="9"/>
      <c r="GN766" s="9"/>
      <c r="GO766" s="9"/>
      <c r="GP766" s="9"/>
      <c r="GQ766" s="9"/>
    </row>
    <row r="767" spans="2:199" ht="15"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  <c r="EI767" s="9"/>
      <c r="EJ767" s="9"/>
      <c r="EK767" s="9"/>
      <c r="EL767" s="9"/>
      <c r="EM767" s="9"/>
      <c r="EN767" s="9"/>
      <c r="EO767" s="9"/>
      <c r="EP767" s="9"/>
      <c r="EQ767" s="9"/>
      <c r="ER767" s="9"/>
      <c r="ES767" s="9"/>
      <c r="ET767" s="9"/>
      <c r="EU767" s="9"/>
      <c r="EV767" s="9"/>
      <c r="EW767" s="9"/>
      <c r="EX767" s="9"/>
      <c r="EY767" s="9"/>
      <c r="EZ767" s="9"/>
      <c r="FA767" s="9"/>
      <c r="FB767" s="9"/>
      <c r="FC767" s="9"/>
      <c r="FD767" s="9"/>
      <c r="FE767" s="9"/>
      <c r="FF767" s="9"/>
      <c r="FG767" s="9"/>
      <c r="FH767" s="9"/>
      <c r="FI767" s="9"/>
      <c r="FJ767" s="9"/>
      <c r="FK767" s="9"/>
      <c r="FL767" s="9"/>
      <c r="FM767" s="9"/>
      <c r="FN767" s="9"/>
      <c r="FO767" s="9"/>
      <c r="FP767" s="9"/>
      <c r="FQ767" s="9"/>
      <c r="FR767" s="9"/>
      <c r="FS767" s="9"/>
      <c r="FT767" s="9"/>
      <c r="FU767" s="9"/>
      <c r="FV767" s="9"/>
      <c r="FW767" s="9"/>
      <c r="FX767" s="9"/>
      <c r="FY767" s="9"/>
      <c r="FZ767" s="9"/>
      <c r="GA767" s="9"/>
      <c r="GB767" s="9"/>
      <c r="GC767" s="9"/>
      <c r="GD767" s="9"/>
      <c r="GE767" s="9"/>
      <c r="GF767" s="9"/>
      <c r="GG767" s="9"/>
      <c r="GH767" s="9"/>
      <c r="GI767" s="9"/>
      <c r="GJ767" s="9"/>
      <c r="GK767" s="9"/>
      <c r="GL767" s="9"/>
      <c r="GM767" s="9"/>
      <c r="GN767" s="9"/>
      <c r="GO767" s="9"/>
      <c r="GP767" s="9"/>
      <c r="GQ767" s="9"/>
    </row>
    <row r="768" spans="2:199" ht="15"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  <c r="EM768" s="9"/>
      <c r="EN768" s="9"/>
      <c r="EO768" s="9"/>
      <c r="EP768" s="9"/>
      <c r="EQ768" s="9"/>
      <c r="ER768" s="9"/>
      <c r="ES768" s="9"/>
      <c r="ET768" s="9"/>
      <c r="EU768" s="9"/>
      <c r="EV768" s="9"/>
      <c r="EW768" s="9"/>
      <c r="EX768" s="9"/>
      <c r="EY768" s="9"/>
      <c r="EZ768" s="9"/>
      <c r="FA768" s="9"/>
      <c r="FB768" s="9"/>
      <c r="FC768" s="9"/>
      <c r="FD768" s="9"/>
      <c r="FE768" s="9"/>
      <c r="FF768" s="9"/>
      <c r="FG768" s="9"/>
      <c r="FH768" s="9"/>
      <c r="FI768" s="9"/>
      <c r="FJ768" s="9"/>
      <c r="FK768" s="9"/>
      <c r="FL768" s="9"/>
      <c r="FM768" s="9"/>
      <c r="FN768" s="9"/>
      <c r="FO768" s="9"/>
      <c r="FP768" s="9"/>
      <c r="FQ768" s="9"/>
      <c r="FR768" s="9"/>
      <c r="FS768" s="9"/>
      <c r="FT768" s="9"/>
      <c r="FU768" s="9"/>
      <c r="FV768" s="9"/>
      <c r="FW768" s="9"/>
      <c r="FX768" s="9"/>
      <c r="FY768" s="9"/>
      <c r="FZ768" s="9"/>
      <c r="GA768" s="9"/>
      <c r="GB768" s="9"/>
      <c r="GC768" s="9"/>
      <c r="GD768" s="9"/>
      <c r="GE768" s="9"/>
      <c r="GF768" s="9"/>
      <c r="GG768" s="9"/>
      <c r="GH768" s="9"/>
      <c r="GI768" s="9"/>
      <c r="GJ768" s="9"/>
      <c r="GK768" s="9"/>
      <c r="GL768" s="9"/>
      <c r="GM768" s="9"/>
      <c r="GN768" s="9"/>
      <c r="GO768" s="9"/>
      <c r="GP768" s="9"/>
      <c r="GQ768" s="9"/>
    </row>
    <row r="769" spans="2:199" ht="15"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  <c r="EH769" s="9"/>
      <c r="EI769" s="9"/>
      <c r="EJ769" s="9"/>
      <c r="EK769" s="9"/>
      <c r="EL769" s="9"/>
      <c r="EM769" s="9"/>
      <c r="EN769" s="9"/>
      <c r="EO769" s="9"/>
      <c r="EP769" s="9"/>
      <c r="EQ769" s="9"/>
      <c r="ER769" s="9"/>
      <c r="ES769" s="9"/>
      <c r="ET769" s="9"/>
      <c r="EU769" s="9"/>
      <c r="EV769" s="9"/>
      <c r="EW769" s="9"/>
      <c r="EX769" s="9"/>
      <c r="EY769" s="9"/>
      <c r="EZ769" s="9"/>
      <c r="FA769" s="9"/>
      <c r="FB769" s="9"/>
      <c r="FC769" s="9"/>
      <c r="FD769" s="9"/>
      <c r="FE769" s="9"/>
      <c r="FF769" s="9"/>
      <c r="FG769" s="9"/>
      <c r="FH769" s="9"/>
      <c r="FI769" s="9"/>
      <c r="FJ769" s="9"/>
      <c r="FK769" s="9"/>
      <c r="FL769" s="9"/>
      <c r="FM769" s="9"/>
      <c r="FN769" s="9"/>
      <c r="FO769" s="9"/>
      <c r="FP769" s="9"/>
      <c r="FQ769" s="9"/>
      <c r="FR769" s="9"/>
      <c r="FS769" s="9"/>
      <c r="FT769" s="9"/>
      <c r="FU769" s="9"/>
      <c r="FV769" s="9"/>
      <c r="FW769" s="9"/>
      <c r="FX769" s="9"/>
      <c r="FY769" s="9"/>
      <c r="FZ769" s="9"/>
      <c r="GA769" s="9"/>
      <c r="GB769" s="9"/>
      <c r="GC769" s="9"/>
      <c r="GD769" s="9"/>
      <c r="GE769" s="9"/>
      <c r="GF769" s="9"/>
      <c r="GG769" s="9"/>
      <c r="GH769" s="9"/>
      <c r="GI769" s="9"/>
      <c r="GJ769" s="9"/>
      <c r="GK769" s="9"/>
      <c r="GL769" s="9"/>
      <c r="GM769" s="9"/>
      <c r="GN769" s="9"/>
      <c r="GO769" s="9"/>
      <c r="GP769" s="9"/>
      <c r="GQ769" s="9"/>
    </row>
    <row r="770" spans="2:199" ht="15"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  <c r="EO770" s="9"/>
      <c r="EP770" s="9"/>
      <c r="EQ770" s="9"/>
      <c r="ER770" s="9"/>
      <c r="ES770" s="9"/>
      <c r="ET770" s="9"/>
      <c r="EU770" s="9"/>
      <c r="EV770" s="9"/>
      <c r="EW770" s="9"/>
      <c r="EX770" s="9"/>
      <c r="EY770" s="9"/>
      <c r="EZ770" s="9"/>
      <c r="FA770" s="9"/>
      <c r="FB770" s="9"/>
      <c r="FC770" s="9"/>
      <c r="FD770" s="9"/>
      <c r="FE770" s="9"/>
      <c r="FF770" s="9"/>
      <c r="FG770" s="9"/>
      <c r="FH770" s="9"/>
      <c r="FI770" s="9"/>
      <c r="FJ770" s="9"/>
      <c r="FK770" s="9"/>
      <c r="FL770" s="9"/>
      <c r="FM770" s="9"/>
      <c r="FN770" s="9"/>
      <c r="FO770" s="9"/>
      <c r="FP770" s="9"/>
      <c r="FQ770" s="9"/>
      <c r="FR770" s="9"/>
      <c r="FS770" s="9"/>
      <c r="FT770" s="9"/>
      <c r="FU770" s="9"/>
      <c r="FV770" s="9"/>
      <c r="FW770" s="9"/>
      <c r="FX770" s="9"/>
      <c r="FY770" s="9"/>
      <c r="FZ770" s="9"/>
      <c r="GA770" s="9"/>
      <c r="GB770" s="9"/>
      <c r="GC770" s="9"/>
      <c r="GD770" s="9"/>
      <c r="GE770" s="9"/>
      <c r="GF770" s="9"/>
      <c r="GG770" s="9"/>
      <c r="GH770" s="9"/>
      <c r="GI770" s="9"/>
      <c r="GJ770" s="9"/>
      <c r="GK770" s="9"/>
      <c r="GL770" s="9"/>
      <c r="GM770" s="9"/>
      <c r="GN770" s="9"/>
      <c r="GO770" s="9"/>
      <c r="GP770" s="9"/>
      <c r="GQ770" s="9"/>
    </row>
    <row r="771" spans="2:199" ht="15"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  <c r="EF771" s="9"/>
      <c r="EG771" s="9"/>
      <c r="EH771" s="9"/>
      <c r="EI771" s="9"/>
      <c r="EJ771" s="9"/>
      <c r="EK771" s="9"/>
      <c r="EL771" s="9"/>
      <c r="EM771" s="9"/>
      <c r="EN771" s="9"/>
      <c r="EO771" s="9"/>
      <c r="EP771" s="9"/>
      <c r="EQ771" s="9"/>
      <c r="ER771" s="9"/>
      <c r="ES771" s="9"/>
      <c r="ET771" s="9"/>
      <c r="EU771" s="9"/>
      <c r="EV771" s="9"/>
      <c r="EW771" s="9"/>
      <c r="EX771" s="9"/>
      <c r="EY771" s="9"/>
      <c r="EZ771" s="9"/>
      <c r="FA771" s="9"/>
      <c r="FB771" s="9"/>
      <c r="FC771" s="9"/>
      <c r="FD771" s="9"/>
      <c r="FE771" s="9"/>
      <c r="FF771" s="9"/>
      <c r="FG771" s="9"/>
      <c r="FH771" s="9"/>
      <c r="FI771" s="9"/>
      <c r="FJ771" s="9"/>
      <c r="FK771" s="9"/>
      <c r="FL771" s="9"/>
      <c r="FM771" s="9"/>
      <c r="FN771" s="9"/>
      <c r="FO771" s="9"/>
      <c r="FP771" s="9"/>
      <c r="FQ771" s="9"/>
      <c r="FR771" s="9"/>
      <c r="FS771" s="9"/>
      <c r="FT771" s="9"/>
      <c r="FU771" s="9"/>
      <c r="FV771" s="9"/>
      <c r="FW771" s="9"/>
      <c r="FX771" s="9"/>
      <c r="FY771" s="9"/>
      <c r="FZ771" s="9"/>
      <c r="GA771" s="9"/>
      <c r="GB771" s="9"/>
      <c r="GC771" s="9"/>
      <c r="GD771" s="9"/>
      <c r="GE771" s="9"/>
      <c r="GF771" s="9"/>
      <c r="GG771" s="9"/>
      <c r="GH771" s="9"/>
      <c r="GI771" s="9"/>
      <c r="GJ771" s="9"/>
      <c r="GK771" s="9"/>
      <c r="GL771" s="9"/>
      <c r="GM771" s="9"/>
      <c r="GN771" s="9"/>
      <c r="GO771" s="9"/>
      <c r="GP771" s="9"/>
      <c r="GQ771" s="9"/>
    </row>
    <row r="772" spans="2:199" ht="15"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  <c r="EC772" s="9"/>
      <c r="ED772" s="9"/>
      <c r="EE772" s="9"/>
      <c r="EF772" s="9"/>
      <c r="EG772" s="9"/>
      <c r="EH772" s="9"/>
      <c r="EI772" s="9"/>
      <c r="EJ772" s="9"/>
      <c r="EK772" s="9"/>
      <c r="EL772" s="9"/>
      <c r="EM772" s="9"/>
      <c r="EN772" s="9"/>
      <c r="EO772" s="9"/>
      <c r="EP772" s="9"/>
      <c r="EQ772" s="9"/>
      <c r="ER772" s="9"/>
      <c r="ES772" s="9"/>
      <c r="ET772" s="9"/>
      <c r="EU772" s="9"/>
      <c r="EV772" s="9"/>
      <c r="EW772" s="9"/>
      <c r="EX772" s="9"/>
      <c r="EY772" s="9"/>
      <c r="EZ772" s="9"/>
      <c r="FA772" s="9"/>
      <c r="FB772" s="9"/>
      <c r="FC772" s="9"/>
      <c r="FD772" s="9"/>
      <c r="FE772" s="9"/>
      <c r="FF772" s="9"/>
      <c r="FG772" s="9"/>
      <c r="FH772" s="9"/>
      <c r="FI772" s="9"/>
      <c r="FJ772" s="9"/>
      <c r="FK772" s="9"/>
      <c r="FL772" s="9"/>
      <c r="FM772" s="9"/>
      <c r="FN772" s="9"/>
      <c r="FO772" s="9"/>
      <c r="FP772" s="9"/>
      <c r="FQ772" s="9"/>
      <c r="FR772" s="9"/>
      <c r="FS772" s="9"/>
      <c r="FT772" s="9"/>
      <c r="FU772" s="9"/>
      <c r="FV772" s="9"/>
      <c r="FW772" s="9"/>
      <c r="FX772" s="9"/>
      <c r="FY772" s="9"/>
      <c r="FZ772" s="9"/>
      <c r="GA772" s="9"/>
      <c r="GB772" s="9"/>
      <c r="GC772" s="9"/>
      <c r="GD772" s="9"/>
      <c r="GE772" s="9"/>
      <c r="GF772" s="9"/>
      <c r="GG772" s="9"/>
      <c r="GH772" s="9"/>
      <c r="GI772" s="9"/>
      <c r="GJ772" s="9"/>
      <c r="GK772" s="9"/>
      <c r="GL772" s="9"/>
      <c r="GM772" s="9"/>
      <c r="GN772" s="9"/>
      <c r="GO772" s="9"/>
      <c r="GP772" s="9"/>
      <c r="GQ772" s="9"/>
    </row>
    <row r="773" spans="2:199" ht="15"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  <c r="EC773" s="9"/>
      <c r="ED773" s="9"/>
      <c r="EE773" s="9"/>
      <c r="EF773" s="9"/>
      <c r="EG773" s="9"/>
      <c r="EH773" s="9"/>
      <c r="EI773" s="9"/>
      <c r="EJ773" s="9"/>
      <c r="EK773" s="9"/>
      <c r="EL773" s="9"/>
      <c r="EM773" s="9"/>
      <c r="EN773" s="9"/>
      <c r="EO773" s="9"/>
      <c r="EP773" s="9"/>
      <c r="EQ773" s="9"/>
      <c r="ER773" s="9"/>
      <c r="ES773" s="9"/>
      <c r="ET773" s="9"/>
      <c r="EU773" s="9"/>
      <c r="EV773" s="9"/>
      <c r="EW773" s="9"/>
      <c r="EX773" s="9"/>
      <c r="EY773" s="9"/>
      <c r="EZ773" s="9"/>
      <c r="FA773" s="9"/>
      <c r="FB773" s="9"/>
      <c r="FC773" s="9"/>
      <c r="FD773" s="9"/>
      <c r="FE773" s="9"/>
      <c r="FF773" s="9"/>
      <c r="FG773" s="9"/>
      <c r="FH773" s="9"/>
      <c r="FI773" s="9"/>
      <c r="FJ773" s="9"/>
      <c r="FK773" s="9"/>
      <c r="FL773" s="9"/>
      <c r="FM773" s="9"/>
      <c r="FN773" s="9"/>
      <c r="FO773" s="9"/>
      <c r="FP773" s="9"/>
      <c r="FQ773" s="9"/>
      <c r="FR773" s="9"/>
      <c r="FS773" s="9"/>
      <c r="FT773" s="9"/>
      <c r="FU773" s="9"/>
      <c r="FV773" s="9"/>
      <c r="FW773" s="9"/>
      <c r="FX773" s="9"/>
      <c r="FY773" s="9"/>
      <c r="FZ773" s="9"/>
      <c r="GA773" s="9"/>
      <c r="GB773" s="9"/>
      <c r="GC773" s="9"/>
      <c r="GD773" s="9"/>
      <c r="GE773" s="9"/>
      <c r="GF773" s="9"/>
      <c r="GG773" s="9"/>
      <c r="GH773" s="9"/>
      <c r="GI773" s="9"/>
      <c r="GJ773" s="9"/>
      <c r="GK773" s="9"/>
      <c r="GL773" s="9"/>
      <c r="GM773" s="9"/>
      <c r="GN773" s="9"/>
      <c r="GO773" s="9"/>
      <c r="GP773" s="9"/>
      <c r="GQ773" s="9"/>
    </row>
    <row r="774" spans="2:199" ht="15"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  <c r="EC774" s="9"/>
      <c r="ED774" s="9"/>
      <c r="EE774" s="9"/>
      <c r="EF774" s="9"/>
      <c r="EG774" s="9"/>
      <c r="EH774" s="9"/>
      <c r="EI774" s="9"/>
      <c r="EJ774" s="9"/>
      <c r="EK774" s="9"/>
      <c r="EL774" s="9"/>
      <c r="EM774" s="9"/>
      <c r="EN774" s="9"/>
      <c r="EO774" s="9"/>
      <c r="EP774" s="9"/>
      <c r="EQ774" s="9"/>
      <c r="ER774" s="9"/>
      <c r="ES774" s="9"/>
      <c r="ET774" s="9"/>
      <c r="EU774" s="9"/>
      <c r="EV774" s="9"/>
      <c r="EW774" s="9"/>
      <c r="EX774" s="9"/>
      <c r="EY774" s="9"/>
      <c r="EZ774" s="9"/>
      <c r="FA774" s="9"/>
      <c r="FB774" s="9"/>
      <c r="FC774" s="9"/>
      <c r="FD774" s="9"/>
      <c r="FE774" s="9"/>
      <c r="FF774" s="9"/>
      <c r="FG774" s="9"/>
      <c r="FH774" s="9"/>
      <c r="FI774" s="9"/>
      <c r="FJ774" s="9"/>
      <c r="FK774" s="9"/>
      <c r="FL774" s="9"/>
      <c r="FM774" s="9"/>
      <c r="FN774" s="9"/>
      <c r="FO774" s="9"/>
      <c r="FP774" s="9"/>
      <c r="FQ774" s="9"/>
      <c r="FR774" s="9"/>
      <c r="FS774" s="9"/>
      <c r="FT774" s="9"/>
      <c r="FU774" s="9"/>
      <c r="FV774" s="9"/>
      <c r="FW774" s="9"/>
      <c r="FX774" s="9"/>
      <c r="FY774" s="9"/>
      <c r="FZ774" s="9"/>
      <c r="GA774" s="9"/>
      <c r="GB774" s="9"/>
      <c r="GC774" s="9"/>
      <c r="GD774" s="9"/>
      <c r="GE774" s="9"/>
      <c r="GF774" s="9"/>
      <c r="GG774" s="9"/>
      <c r="GH774" s="9"/>
      <c r="GI774" s="9"/>
      <c r="GJ774" s="9"/>
      <c r="GK774" s="9"/>
      <c r="GL774" s="9"/>
      <c r="GM774" s="9"/>
      <c r="GN774" s="9"/>
      <c r="GO774" s="9"/>
      <c r="GP774" s="9"/>
      <c r="GQ774" s="9"/>
    </row>
    <row r="775" spans="2:199" ht="15"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  <c r="EH775" s="9"/>
      <c r="EI775" s="9"/>
      <c r="EJ775" s="9"/>
      <c r="EK775" s="9"/>
      <c r="EL775" s="9"/>
      <c r="EM775" s="9"/>
      <c r="EN775" s="9"/>
      <c r="EO775" s="9"/>
      <c r="EP775" s="9"/>
      <c r="EQ775" s="9"/>
      <c r="ER775" s="9"/>
      <c r="ES775" s="9"/>
      <c r="ET775" s="9"/>
      <c r="EU775" s="9"/>
      <c r="EV775" s="9"/>
      <c r="EW775" s="9"/>
      <c r="EX775" s="9"/>
      <c r="EY775" s="9"/>
      <c r="EZ775" s="9"/>
      <c r="FA775" s="9"/>
      <c r="FB775" s="9"/>
      <c r="FC775" s="9"/>
      <c r="FD775" s="9"/>
      <c r="FE775" s="9"/>
      <c r="FF775" s="9"/>
      <c r="FG775" s="9"/>
      <c r="FH775" s="9"/>
      <c r="FI775" s="9"/>
      <c r="FJ775" s="9"/>
      <c r="FK775" s="9"/>
      <c r="FL775" s="9"/>
      <c r="FM775" s="9"/>
      <c r="FN775" s="9"/>
      <c r="FO775" s="9"/>
      <c r="FP775" s="9"/>
      <c r="FQ775" s="9"/>
      <c r="FR775" s="9"/>
      <c r="FS775" s="9"/>
      <c r="FT775" s="9"/>
      <c r="FU775" s="9"/>
      <c r="FV775" s="9"/>
      <c r="FW775" s="9"/>
      <c r="FX775" s="9"/>
      <c r="FY775" s="9"/>
      <c r="FZ775" s="9"/>
      <c r="GA775" s="9"/>
      <c r="GB775" s="9"/>
      <c r="GC775" s="9"/>
      <c r="GD775" s="9"/>
      <c r="GE775" s="9"/>
      <c r="GF775" s="9"/>
      <c r="GG775" s="9"/>
      <c r="GH775" s="9"/>
      <c r="GI775" s="9"/>
      <c r="GJ775" s="9"/>
      <c r="GK775" s="9"/>
      <c r="GL775" s="9"/>
      <c r="GM775" s="9"/>
      <c r="GN775" s="9"/>
      <c r="GO775" s="9"/>
      <c r="GP775" s="9"/>
      <c r="GQ775" s="9"/>
    </row>
    <row r="776" spans="2:199" ht="15"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/>
      <c r="EG776" s="9"/>
      <c r="EH776" s="9"/>
      <c r="EI776" s="9"/>
      <c r="EJ776" s="9"/>
      <c r="EK776" s="9"/>
      <c r="EL776" s="9"/>
      <c r="EM776" s="9"/>
      <c r="EN776" s="9"/>
      <c r="EO776" s="9"/>
      <c r="EP776" s="9"/>
      <c r="EQ776" s="9"/>
      <c r="ER776" s="9"/>
      <c r="ES776" s="9"/>
      <c r="ET776" s="9"/>
      <c r="EU776" s="9"/>
      <c r="EV776" s="9"/>
      <c r="EW776" s="9"/>
      <c r="EX776" s="9"/>
      <c r="EY776" s="9"/>
      <c r="EZ776" s="9"/>
      <c r="FA776" s="9"/>
      <c r="FB776" s="9"/>
      <c r="FC776" s="9"/>
      <c r="FD776" s="9"/>
      <c r="FE776" s="9"/>
      <c r="FF776" s="9"/>
      <c r="FG776" s="9"/>
      <c r="FH776" s="9"/>
      <c r="FI776" s="9"/>
      <c r="FJ776" s="9"/>
      <c r="FK776" s="9"/>
      <c r="FL776" s="9"/>
      <c r="FM776" s="9"/>
      <c r="FN776" s="9"/>
      <c r="FO776" s="9"/>
      <c r="FP776" s="9"/>
      <c r="FQ776" s="9"/>
      <c r="FR776" s="9"/>
      <c r="FS776" s="9"/>
      <c r="FT776" s="9"/>
      <c r="FU776" s="9"/>
      <c r="FV776" s="9"/>
      <c r="FW776" s="9"/>
      <c r="FX776" s="9"/>
      <c r="FY776" s="9"/>
      <c r="FZ776" s="9"/>
      <c r="GA776" s="9"/>
      <c r="GB776" s="9"/>
      <c r="GC776" s="9"/>
      <c r="GD776" s="9"/>
      <c r="GE776" s="9"/>
      <c r="GF776" s="9"/>
      <c r="GG776" s="9"/>
      <c r="GH776" s="9"/>
      <c r="GI776" s="9"/>
      <c r="GJ776" s="9"/>
      <c r="GK776" s="9"/>
      <c r="GL776" s="9"/>
      <c r="GM776" s="9"/>
      <c r="GN776" s="9"/>
      <c r="GO776" s="9"/>
      <c r="GP776" s="9"/>
      <c r="GQ776" s="9"/>
    </row>
    <row r="777" spans="2:199" ht="15"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  <c r="EH777" s="9"/>
      <c r="EI777" s="9"/>
      <c r="EJ777" s="9"/>
      <c r="EK777" s="9"/>
      <c r="EL777" s="9"/>
      <c r="EM777" s="9"/>
      <c r="EN777" s="9"/>
      <c r="EO777" s="9"/>
      <c r="EP777" s="9"/>
      <c r="EQ777" s="9"/>
      <c r="ER777" s="9"/>
      <c r="ES777" s="9"/>
      <c r="ET777" s="9"/>
      <c r="EU777" s="9"/>
      <c r="EV777" s="9"/>
      <c r="EW777" s="9"/>
      <c r="EX777" s="9"/>
      <c r="EY777" s="9"/>
      <c r="EZ777" s="9"/>
      <c r="FA777" s="9"/>
      <c r="FB777" s="9"/>
      <c r="FC777" s="9"/>
      <c r="FD777" s="9"/>
      <c r="FE777" s="9"/>
      <c r="FF777" s="9"/>
      <c r="FG777" s="9"/>
      <c r="FH777" s="9"/>
      <c r="FI777" s="9"/>
      <c r="FJ777" s="9"/>
      <c r="FK777" s="9"/>
      <c r="FL777" s="9"/>
      <c r="FM777" s="9"/>
      <c r="FN777" s="9"/>
      <c r="FO777" s="9"/>
      <c r="FP777" s="9"/>
      <c r="FQ777" s="9"/>
      <c r="FR777" s="9"/>
      <c r="FS777" s="9"/>
      <c r="FT777" s="9"/>
      <c r="FU777" s="9"/>
      <c r="FV777" s="9"/>
      <c r="FW777" s="9"/>
      <c r="FX777" s="9"/>
      <c r="FY777" s="9"/>
      <c r="FZ777" s="9"/>
      <c r="GA777" s="9"/>
      <c r="GB777" s="9"/>
      <c r="GC777" s="9"/>
      <c r="GD777" s="9"/>
      <c r="GE777" s="9"/>
      <c r="GF777" s="9"/>
      <c r="GG777" s="9"/>
      <c r="GH777" s="9"/>
      <c r="GI777" s="9"/>
      <c r="GJ777" s="9"/>
      <c r="GK777" s="9"/>
      <c r="GL777" s="9"/>
      <c r="GM777" s="9"/>
      <c r="GN777" s="9"/>
      <c r="GO777" s="9"/>
      <c r="GP777" s="9"/>
      <c r="GQ777" s="9"/>
    </row>
    <row r="778" spans="2:199" ht="15"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  <c r="EO778" s="9"/>
      <c r="EP778" s="9"/>
      <c r="EQ778" s="9"/>
      <c r="ER778" s="9"/>
      <c r="ES778" s="9"/>
      <c r="ET778" s="9"/>
      <c r="EU778" s="9"/>
      <c r="EV778" s="9"/>
      <c r="EW778" s="9"/>
      <c r="EX778" s="9"/>
      <c r="EY778" s="9"/>
      <c r="EZ778" s="9"/>
      <c r="FA778" s="9"/>
      <c r="FB778" s="9"/>
      <c r="FC778" s="9"/>
      <c r="FD778" s="9"/>
      <c r="FE778" s="9"/>
      <c r="FF778" s="9"/>
      <c r="FG778" s="9"/>
      <c r="FH778" s="9"/>
      <c r="FI778" s="9"/>
      <c r="FJ778" s="9"/>
      <c r="FK778" s="9"/>
      <c r="FL778" s="9"/>
      <c r="FM778" s="9"/>
      <c r="FN778" s="9"/>
      <c r="FO778" s="9"/>
      <c r="FP778" s="9"/>
      <c r="FQ778" s="9"/>
      <c r="FR778" s="9"/>
      <c r="FS778" s="9"/>
      <c r="FT778" s="9"/>
      <c r="FU778" s="9"/>
      <c r="FV778" s="9"/>
      <c r="FW778" s="9"/>
      <c r="FX778" s="9"/>
      <c r="FY778" s="9"/>
      <c r="FZ778" s="9"/>
      <c r="GA778" s="9"/>
      <c r="GB778" s="9"/>
      <c r="GC778" s="9"/>
      <c r="GD778" s="9"/>
      <c r="GE778" s="9"/>
      <c r="GF778" s="9"/>
      <c r="GG778" s="9"/>
      <c r="GH778" s="9"/>
      <c r="GI778" s="9"/>
      <c r="GJ778" s="9"/>
      <c r="GK778" s="9"/>
      <c r="GL778" s="9"/>
      <c r="GM778" s="9"/>
      <c r="GN778" s="9"/>
      <c r="GO778" s="9"/>
      <c r="GP778" s="9"/>
      <c r="GQ778" s="9"/>
    </row>
    <row r="779" spans="2:199" ht="15"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/>
      <c r="EG779" s="9"/>
      <c r="EH779" s="9"/>
      <c r="EI779" s="9"/>
      <c r="EJ779" s="9"/>
      <c r="EK779" s="9"/>
      <c r="EL779" s="9"/>
      <c r="EM779" s="9"/>
      <c r="EN779" s="9"/>
      <c r="EO779" s="9"/>
      <c r="EP779" s="9"/>
      <c r="EQ779" s="9"/>
      <c r="ER779" s="9"/>
      <c r="ES779" s="9"/>
      <c r="ET779" s="9"/>
      <c r="EU779" s="9"/>
      <c r="EV779" s="9"/>
      <c r="EW779" s="9"/>
      <c r="EX779" s="9"/>
      <c r="EY779" s="9"/>
      <c r="EZ779" s="9"/>
      <c r="FA779" s="9"/>
      <c r="FB779" s="9"/>
      <c r="FC779" s="9"/>
      <c r="FD779" s="9"/>
      <c r="FE779" s="9"/>
      <c r="FF779" s="9"/>
      <c r="FG779" s="9"/>
      <c r="FH779" s="9"/>
      <c r="FI779" s="9"/>
      <c r="FJ779" s="9"/>
      <c r="FK779" s="9"/>
      <c r="FL779" s="9"/>
      <c r="FM779" s="9"/>
      <c r="FN779" s="9"/>
      <c r="FO779" s="9"/>
      <c r="FP779" s="9"/>
      <c r="FQ779" s="9"/>
      <c r="FR779" s="9"/>
      <c r="FS779" s="9"/>
      <c r="FT779" s="9"/>
      <c r="FU779" s="9"/>
      <c r="FV779" s="9"/>
      <c r="FW779" s="9"/>
      <c r="FX779" s="9"/>
      <c r="FY779" s="9"/>
      <c r="FZ779" s="9"/>
      <c r="GA779" s="9"/>
      <c r="GB779" s="9"/>
      <c r="GC779" s="9"/>
      <c r="GD779" s="9"/>
      <c r="GE779" s="9"/>
      <c r="GF779" s="9"/>
      <c r="GG779" s="9"/>
      <c r="GH779" s="9"/>
      <c r="GI779" s="9"/>
      <c r="GJ779" s="9"/>
      <c r="GK779" s="9"/>
      <c r="GL779" s="9"/>
      <c r="GM779" s="9"/>
      <c r="GN779" s="9"/>
      <c r="GO779" s="9"/>
      <c r="GP779" s="9"/>
      <c r="GQ779" s="9"/>
    </row>
    <row r="780" spans="2:199" ht="15"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  <c r="EO780" s="9"/>
      <c r="EP780" s="9"/>
      <c r="EQ780" s="9"/>
      <c r="ER780" s="9"/>
      <c r="ES780" s="9"/>
      <c r="ET780" s="9"/>
      <c r="EU780" s="9"/>
      <c r="EV780" s="9"/>
      <c r="EW780" s="9"/>
      <c r="EX780" s="9"/>
      <c r="EY780" s="9"/>
      <c r="EZ780" s="9"/>
      <c r="FA780" s="9"/>
      <c r="FB780" s="9"/>
      <c r="FC780" s="9"/>
      <c r="FD780" s="9"/>
      <c r="FE780" s="9"/>
      <c r="FF780" s="9"/>
      <c r="FG780" s="9"/>
      <c r="FH780" s="9"/>
      <c r="FI780" s="9"/>
      <c r="FJ780" s="9"/>
      <c r="FK780" s="9"/>
      <c r="FL780" s="9"/>
      <c r="FM780" s="9"/>
      <c r="FN780" s="9"/>
      <c r="FO780" s="9"/>
      <c r="FP780" s="9"/>
      <c r="FQ780" s="9"/>
      <c r="FR780" s="9"/>
      <c r="FS780" s="9"/>
      <c r="FT780" s="9"/>
      <c r="FU780" s="9"/>
      <c r="FV780" s="9"/>
      <c r="FW780" s="9"/>
      <c r="FX780" s="9"/>
      <c r="FY780" s="9"/>
      <c r="FZ780" s="9"/>
      <c r="GA780" s="9"/>
      <c r="GB780" s="9"/>
      <c r="GC780" s="9"/>
      <c r="GD780" s="9"/>
      <c r="GE780" s="9"/>
      <c r="GF780" s="9"/>
      <c r="GG780" s="9"/>
      <c r="GH780" s="9"/>
      <c r="GI780" s="9"/>
      <c r="GJ780" s="9"/>
      <c r="GK780" s="9"/>
      <c r="GL780" s="9"/>
      <c r="GM780" s="9"/>
      <c r="GN780" s="9"/>
      <c r="GO780" s="9"/>
      <c r="GP780" s="9"/>
      <c r="GQ780" s="9"/>
    </row>
    <row r="781" spans="2:199" ht="15"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  <c r="EM781" s="9"/>
      <c r="EN781" s="9"/>
      <c r="EO781" s="9"/>
      <c r="EP781" s="9"/>
      <c r="EQ781" s="9"/>
      <c r="ER781" s="9"/>
      <c r="ES781" s="9"/>
      <c r="ET781" s="9"/>
      <c r="EU781" s="9"/>
      <c r="EV781" s="9"/>
      <c r="EW781" s="9"/>
      <c r="EX781" s="9"/>
      <c r="EY781" s="9"/>
      <c r="EZ781" s="9"/>
      <c r="FA781" s="9"/>
      <c r="FB781" s="9"/>
      <c r="FC781" s="9"/>
      <c r="FD781" s="9"/>
      <c r="FE781" s="9"/>
      <c r="FF781" s="9"/>
      <c r="FG781" s="9"/>
      <c r="FH781" s="9"/>
      <c r="FI781" s="9"/>
      <c r="FJ781" s="9"/>
      <c r="FK781" s="9"/>
      <c r="FL781" s="9"/>
      <c r="FM781" s="9"/>
      <c r="FN781" s="9"/>
      <c r="FO781" s="9"/>
      <c r="FP781" s="9"/>
      <c r="FQ781" s="9"/>
      <c r="FR781" s="9"/>
      <c r="FS781" s="9"/>
      <c r="FT781" s="9"/>
      <c r="FU781" s="9"/>
      <c r="FV781" s="9"/>
      <c r="FW781" s="9"/>
      <c r="FX781" s="9"/>
      <c r="FY781" s="9"/>
      <c r="FZ781" s="9"/>
      <c r="GA781" s="9"/>
      <c r="GB781" s="9"/>
      <c r="GC781" s="9"/>
      <c r="GD781" s="9"/>
      <c r="GE781" s="9"/>
      <c r="GF781" s="9"/>
      <c r="GG781" s="9"/>
      <c r="GH781" s="9"/>
      <c r="GI781" s="9"/>
      <c r="GJ781" s="9"/>
      <c r="GK781" s="9"/>
      <c r="GL781" s="9"/>
      <c r="GM781" s="9"/>
      <c r="GN781" s="9"/>
      <c r="GO781" s="9"/>
      <c r="GP781" s="9"/>
      <c r="GQ781" s="9"/>
    </row>
    <row r="782" spans="2:199" ht="15"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  <c r="EO782" s="9"/>
      <c r="EP782" s="9"/>
      <c r="EQ782" s="9"/>
      <c r="ER782" s="9"/>
      <c r="ES782" s="9"/>
      <c r="ET782" s="9"/>
      <c r="EU782" s="9"/>
      <c r="EV782" s="9"/>
      <c r="EW782" s="9"/>
      <c r="EX782" s="9"/>
      <c r="EY782" s="9"/>
      <c r="EZ782" s="9"/>
      <c r="FA782" s="9"/>
      <c r="FB782" s="9"/>
      <c r="FC782" s="9"/>
      <c r="FD782" s="9"/>
      <c r="FE782" s="9"/>
      <c r="FF782" s="9"/>
      <c r="FG782" s="9"/>
      <c r="FH782" s="9"/>
      <c r="FI782" s="9"/>
      <c r="FJ782" s="9"/>
      <c r="FK782" s="9"/>
      <c r="FL782" s="9"/>
      <c r="FM782" s="9"/>
      <c r="FN782" s="9"/>
      <c r="FO782" s="9"/>
      <c r="FP782" s="9"/>
      <c r="FQ782" s="9"/>
      <c r="FR782" s="9"/>
      <c r="FS782" s="9"/>
      <c r="FT782" s="9"/>
      <c r="FU782" s="9"/>
      <c r="FV782" s="9"/>
      <c r="FW782" s="9"/>
      <c r="FX782" s="9"/>
      <c r="FY782" s="9"/>
      <c r="FZ782" s="9"/>
      <c r="GA782" s="9"/>
      <c r="GB782" s="9"/>
      <c r="GC782" s="9"/>
      <c r="GD782" s="9"/>
      <c r="GE782" s="9"/>
      <c r="GF782" s="9"/>
      <c r="GG782" s="9"/>
      <c r="GH782" s="9"/>
      <c r="GI782" s="9"/>
      <c r="GJ782" s="9"/>
      <c r="GK782" s="9"/>
      <c r="GL782" s="9"/>
      <c r="GM782" s="9"/>
      <c r="GN782" s="9"/>
      <c r="GO782" s="9"/>
      <c r="GP782" s="9"/>
      <c r="GQ782" s="9"/>
    </row>
    <row r="783" spans="2:199" ht="15"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  <c r="EM783" s="9"/>
      <c r="EN783" s="9"/>
      <c r="EO783" s="9"/>
      <c r="EP783" s="9"/>
      <c r="EQ783" s="9"/>
      <c r="ER783" s="9"/>
      <c r="ES783" s="9"/>
      <c r="ET783" s="9"/>
      <c r="EU783" s="9"/>
      <c r="EV783" s="9"/>
      <c r="EW783" s="9"/>
      <c r="EX783" s="9"/>
      <c r="EY783" s="9"/>
      <c r="EZ783" s="9"/>
      <c r="FA783" s="9"/>
      <c r="FB783" s="9"/>
      <c r="FC783" s="9"/>
      <c r="FD783" s="9"/>
      <c r="FE783" s="9"/>
      <c r="FF783" s="9"/>
      <c r="FG783" s="9"/>
      <c r="FH783" s="9"/>
      <c r="FI783" s="9"/>
      <c r="FJ783" s="9"/>
      <c r="FK783" s="9"/>
      <c r="FL783" s="9"/>
      <c r="FM783" s="9"/>
      <c r="FN783" s="9"/>
      <c r="FO783" s="9"/>
      <c r="FP783" s="9"/>
      <c r="FQ783" s="9"/>
      <c r="FR783" s="9"/>
      <c r="FS783" s="9"/>
      <c r="FT783" s="9"/>
      <c r="FU783" s="9"/>
      <c r="FV783" s="9"/>
      <c r="FW783" s="9"/>
      <c r="FX783" s="9"/>
      <c r="FY783" s="9"/>
      <c r="FZ783" s="9"/>
      <c r="GA783" s="9"/>
      <c r="GB783" s="9"/>
      <c r="GC783" s="9"/>
      <c r="GD783" s="9"/>
      <c r="GE783" s="9"/>
      <c r="GF783" s="9"/>
      <c r="GG783" s="9"/>
      <c r="GH783" s="9"/>
      <c r="GI783" s="9"/>
      <c r="GJ783" s="9"/>
      <c r="GK783" s="9"/>
      <c r="GL783" s="9"/>
      <c r="GM783" s="9"/>
      <c r="GN783" s="9"/>
      <c r="GO783" s="9"/>
      <c r="GP783" s="9"/>
      <c r="GQ783" s="9"/>
    </row>
    <row r="784" spans="2:199" ht="15"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  <c r="EF784" s="9"/>
      <c r="EG784" s="9"/>
      <c r="EH784" s="9"/>
      <c r="EI784" s="9"/>
      <c r="EJ784" s="9"/>
      <c r="EK784" s="9"/>
      <c r="EL784" s="9"/>
      <c r="EM784" s="9"/>
      <c r="EN784" s="9"/>
      <c r="EO784" s="9"/>
      <c r="EP784" s="9"/>
      <c r="EQ784" s="9"/>
      <c r="ER784" s="9"/>
      <c r="ES784" s="9"/>
      <c r="ET784" s="9"/>
      <c r="EU784" s="9"/>
      <c r="EV784" s="9"/>
      <c r="EW784" s="9"/>
      <c r="EX784" s="9"/>
      <c r="EY784" s="9"/>
      <c r="EZ784" s="9"/>
      <c r="FA784" s="9"/>
      <c r="FB784" s="9"/>
      <c r="FC784" s="9"/>
      <c r="FD784" s="9"/>
      <c r="FE784" s="9"/>
      <c r="FF784" s="9"/>
      <c r="FG784" s="9"/>
      <c r="FH784" s="9"/>
      <c r="FI784" s="9"/>
      <c r="FJ784" s="9"/>
      <c r="FK784" s="9"/>
      <c r="FL784" s="9"/>
      <c r="FM784" s="9"/>
      <c r="FN784" s="9"/>
      <c r="FO784" s="9"/>
      <c r="FP784" s="9"/>
      <c r="FQ784" s="9"/>
      <c r="FR784" s="9"/>
      <c r="FS784" s="9"/>
      <c r="FT784" s="9"/>
      <c r="FU784" s="9"/>
      <c r="FV784" s="9"/>
      <c r="FW784" s="9"/>
      <c r="FX784" s="9"/>
      <c r="FY784" s="9"/>
      <c r="FZ784" s="9"/>
      <c r="GA784" s="9"/>
      <c r="GB784" s="9"/>
      <c r="GC784" s="9"/>
      <c r="GD784" s="9"/>
      <c r="GE784" s="9"/>
      <c r="GF784" s="9"/>
      <c r="GG784" s="9"/>
      <c r="GH784" s="9"/>
      <c r="GI784" s="9"/>
      <c r="GJ784" s="9"/>
      <c r="GK784" s="9"/>
      <c r="GL784" s="9"/>
      <c r="GM784" s="9"/>
      <c r="GN784" s="9"/>
      <c r="GO784" s="9"/>
      <c r="GP784" s="9"/>
      <c r="GQ784" s="9"/>
    </row>
    <row r="785" spans="2:199" ht="15"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  <c r="EF785" s="9"/>
      <c r="EG785" s="9"/>
      <c r="EH785" s="9"/>
      <c r="EI785" s="9"/>
      <c r="EJ785" s="9"/>
      <c r="EK785" s="9"/>
      <c r="EL785" s="9"/>
      <c r="EM785" s="9"/>
      <c r="EN785" s="9"/>
      <c r="EO785" s="9"/>
      <c r="EP785" s="9"/>
      <c r="EQ785" s="9"/>
      <c r="ER785" s="9"/>
      <c r="ES785" s="9"/>
      <c r="ET785" s="9"/>
      <c r="EU785" s="9"/>
      <c r="EV785" s="9"/>
      <c r="EW785" s="9"/>
      <c r="EX785" s="9"/>
      <c r="EY785" s="9"/>
      <c r="EZ785" s="9"/>
      <c r="FA785" s="9"/>
      <c r="FB785" s="9"/>
      <c r="FC785" s="9"/>
      <c r="FD785" s="9"/>
      <c r="FE785" s="9"/>
      <c r="FF785" s="9"/>
      <c r="FG785" s="9"/>
      <c r="FH785" s="9"/>
      <c r="FI785" s="9"/>
      <c r="FJ785" s="9"/>
      <c r="FK785" s="9"/>
      <c r="FL785" s="9"/>
      <c r="FM785" s="9"/>
      <c r="FN785" s="9"/>
      <c r="FO785" s="9"/>
      <c r="FP785" s="9"/>
      <c r="FQ785" s="9"/>
      <c r="FR785" s="9"/>
      <c r="FS785" s="9"/>
      <c r="FT785" s="9"/>
      <c r="FU785" s="9"/>
      <c r="FV785" s="9"/>
      <c r="FW785" s="9"/>
      <c r="FX785" s="9"/>
      <c r="FY785" s="9"/>
      <c r="FZ785" s="9"/>
      <c r="GA785" s="9"/>
      <c r="GB785" s="9"/>
      <c r="GC785" s="9"/>
      <c r="GD785" s="9"/>
      <c r="GE785" s="9"/>
      <c r="GF785" s="9"/>
      <c r="GG785" s="9"/>
      <c r="GH785" s="9"/>
      <c r="GI785" s="9"/>
      <c r="GJ785" s="9"/>
      <c r="GK785" s="9"/>
      <c r="GL785" s="9"/>
      <c r="GM785" s="9"/>
      <c r="GN785" s="9"/>
      <c r="GO785" s="9"/>
      <c r="GP785" s="9"/>
      <c r="GQ785" s="9"/>
    </row>
    <row r="786" spans="2:199" ht="15"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  <c r="EH786" s="9"/>
      <c r="EI786" s="9"/>
      <c r="EJ786" s="9"/>
      <c r="EK786" s="9"/>
      <c r="EL786" s="9"/>
      <c r="EM786" s="9"/>
      <c r="EN786" s="9"/>
      <c r="EO786" s="9"/>
      <c r="EP786" s="9"/>
      <c r="EQ786" s="9"/>
      <c r="ER786" s="9"/>
      <c r="ES786" s="9"/>
      <c r="ET786" s="9"/>
      <c r="EU786" s="9"/>
      <c r="EV786" s="9"/>
      <c r="EW786" s="9"/>
      <c r="EX786" s="9"/>
      <c r="EY786" s="9"/>
      <c r="EZ786" s="9"/>
      <c r="FA786" s="9"/>
      <c r="FB786" s="9"/>
      <c r="FC786" s="9"/>
      <c r="FD786" s="9"/>
      <c r="FE786" s="9"/>
      <c r="FF786" s="9"/>
      <c r="FG786" s="9"/>
      <c r="FH786" s="9"/>
      <c r="FI786" s="9"/>
      <c r="FJ786" s="9"/>
      <c r="FK786" s="9"/>
      <c r="FL786" s="9"/>
      <c r="FM786" s="9"/>
      <c r="FN786" s="9"/>
      <c r="FO786" s="9"/>
      <c r="FP786" s="9"/>
      <c r="FQ786" s="9"/>
      <c r="FR786" s="9"/>
      <c r="FS786" s="9"/>
      <c r="FT786" s="9"/>
      <c r="FU786" s="9"/>
      <c r="FV786" s="9"/>
      <c r="FW786" s="9"/>
      <c r="FX786" s="9"/>
      <c r="FY786" s="9"/>
      <c r="FZ786" s="9"/>
      <c r="GA786" s="9"/>
      <c r="GB786" s="9"/>
      <c r="GC786" s="9"/>
      <c r="GD786" s="9"/>
      <c r="GE786" s="9"/>
      <c r="GF786" s="9"/>
      <c r="GG786" s="9"/>
      <c r="GH786" s="9"/>
      <c r="GI786" s="9"/>
      <c r="GJ786" s="9"/>
      <c r="GK786" s="9"/>
      <c r="GL786" s="9"/>
      <c r="GM786" s="9"/>
      <c r="GN786" s="9"/>
      <c r="GO786" s="9"/>
      <c r="GP786" s="9"/>
      <c r="GQ786" s="9"/>
    </row>
    <row r="787" spans="2:199" ht="15"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  <c r="EH787" s="9"/>
      <c r="EI787" s="9"/>
      <c r="EJ787" s="9"/>
      <c r="EK787" s="9"/>
      <c r="EL787" s="9"/>
      <c r="EM787" s="9"/>
      <c r="EN787" s="9"/>
      <c r="EO787" s="9"/>
      <c r="EP787" s="9"/>
      <c r="EQ787" s="9"/>
      <c r="ER787" s="9"/>
      <c r="ES787" s="9"/>
      <c r="ET787" s="9"/>
      <c r="EU787" s="9"/>
      <c r="EV787" s="9"/>
      <c r="EW787" s="9"/>
      <c r="EX787" s="9"/>
      <c r="EY787" s="9"/>
      <c r="EZ787" s="9"/>
      <c r="FA787" s="9"/>
      <c r="FB787" s="9"/>
      <c r="FC787" s="9"/>
      <c r="FD787" s="9"/>
      <c r="FE787" s="9"/>
      <c r="FF787" s="9"/>
      <c r="FG787" s="9"/>
      <c r="FH787" s="9"/>
      <c r="FI787" s="9"/>
      <c r="FJ787" s="9"/>
      <c r="FK787" s="9"/>
      <c r="FL787" s="9"/>
      <c r="FM787" s="9"/>
      <c r="FN787" s="9"/>
      <c r="FO787" s="9"/>
      <c r="FP787" s="9"/>
      <c r="FQ787" s="9"/>
      <c r="FR787" s="9"/>
      <c r="FS787" s="9"/>
      <c r="FT787" s="9"/>
      <c r="FU787" s="9"/>
      <c r="FV787" s="9"/>
      <c r="FW787" s="9"/>
      <c r="FX787" s="9"/>
      <c r="FY787" s="9"/>
      <c r="FZ787" s="9"/>
      <c r="GA787" s="9"/>
      <c r="GB787" s="9"/>
      <c r="GC787" s="9"/>
      <c r="GD787" s="9"/>
      <c r="GE787" s="9"/>
      <c r="GF787" s="9"/>
      <c r="GG787" s="9"/>
      <c r="GH787" s="9"/>
      <c r="GI787" s="9"/>
      <c r="GJ787" s="9"/>
      <c r="GK787" s="9"/>
      <c r="GL787" s="9"/>
      <c r="GM787" s="9"/>
      <c r="GN787" s="9"/>
      <c r="GO787" s="9"/>
      <c r="GP787" s="9"/>
      <c r="GQ787" s="9"/>
    </row>
    <row r="788" spans="2:199" ht="15"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  <c r="EF788" s="9"/>
      <c r="EG788" s="9"/>
      <c r="EH788" s="9"/>
      <c r="EI788" s="9"/>
      <c r="EJ788" s="9"/>
      <c r="EK788" s="9"/>
      <c r="EL788" s="9"/>
      <c r="EM788" s="9"/>
      <c r="EN788" s="9"/>
      <c r="EO788" s="9"/>
      <c r="EP788" s="9"/>
      <c r="EQ788" s="9"/>
      <c r="ER788" s="9"/>
      <c r="ES788" s="9"/>
      <c r="ET788" s="9"/>
      <c r="EU788" s="9"/>
      <c r="EV788" s="9"/>
      <c r="EW788" s="9"/>
      <c r="EX788" s="9"/>
      <c r="EY788" s="9"/>
      <c r="EZ788" s="9"/>
      <c r="FA788" s="9"/>
      <c r="FB788" s="9"/>
      <c r="FC788" s="9"/>
      <c r="FD788" s="9"/>
      <c r="FE788" s="9"/>
      <c r="FF788" s="9"/>
      <c r="FG788" s="9"/>
      <c r="FH788" s="9"/>
      <c r="FI788" s="9"/>
      <c r="FJ788" s="9"/>
      <c r="FK788" s="9"/>
      <c r="FL788" s="9"/>
      <c r="FM788" s="9"/>
      <c r="FN788" s="9"/>
      <c r="FO788" s="9"/>
      <c r="FP788" s="9"/>
      <c r="FQ788" s="9"/>
      <c r="FR788" s="9"/>
      <c r="FS788" s="9"/>
      <c r="FT788" s="9"/>
      <c r="FU788" s="9"/>
      <c r="FV788" s="9"/>
      <c r="FW788" s="9"/>
      <c r="FX788" s="9"/>
      <c r="FY788" s="9"/>
      <c r="FZ788" s="9"/>
      <c r="GA788" s="9"/>
      <c r="GB788" s="9"/>
      <c r="GC788" s="9"/>
      <c r="GD788" s="9"/>
      <c r="GE788" s="9"/>
      <c r="GF788" s="9"/>
      <c r="GG788" s="9"/>
      <c r="GH788" s="9"/>
      <c r="GI788" s="9"/>
      <c r="GJ788" s="9"/>
      <c r="GK788" s="9"/>
      <c r="GL788" s="9"/>
      <c r="GM788" s="9"/>
      <c r="GN788" s="9"/>
      <c r="GO788" s="9"/>
      <c r="GP788" s="9"/>
      <c r="GQ788" s="9"/>
    </row>
    <row r="789" spans="2:199" ht="15"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/>
      <c r="EG789" s="9"/>
      <c r="EH789" s="9"/>
      <c r="EI789" s="9"/>
      <c r="EJ789" s="9"/>
      <c r="EK789" s="9"/>
      <c r="EL789" s="9"/>
      <c r="EM789" s="9"/>
      <c r="EN789" s="9"/>
      <c r="EO789" s="9"/>
      <c r="EP789" s="9"/>
      <c r="EQ789" s="9"/>
      <c r="ER789" s="9"/>
      <c r="ES789" s="9"/>
      <c r="ET789" s="9"/>
      <c r="EU789" s="9"/>
      <c r="EV789" s="9"/>
      <c r="EW789" s="9"/>
      <c r="EX789" s="9"/>
      <c r="EY789" s="9"/>
      <c r="EZ789" s="9"/>
      <c r="FA789" s="9"/>
      <c r="FB789" s="9"/>
      <c r="FC789" s="9"/>
      <c r="FD789" s="9"/>
      <c r="FE789" s="9"/>
      <c r="FF789" s="9"/>
      <c r="FG789" s="9"/>
      <c r="FH789" s="9"/>
      <c r="FI789" s="9"/>
      <c r="FJ789" s="9"/>
      <c r="FK789" s="9"/>
      <c r="FL789" s="9"/>
      <c r="FM789" s="9"/>
      <c r="FN789" s="9"/>
      <c r="FO789" s="9"/>
      <c r="FP789" s="9"/>
      <c r="FQ789" s="9"/>
      <c r="FR789" s="9"/>
      <c r="FS789" s="9"/>
      <c r="FT789" s="9"/>
      <c r="FU789" s="9"/>
      <c r="FV789" s="9"/>
      <c r="FW789" s="9"/>
      <c r="FX789" s="9"/>
      <c r="FY789" s="9"/>
      <c r="FZ789" s="9"/>
      <c r="GA789" s="9"/>
      <c r="GB789" s="9"/>
      <c r="GC789" s="9"/>
      <c r="GD789" s="9"/>
      <c r="GE789" s="9"/>
      <c r="GF789" s="9"/>
      <c r="GG789" s="9"/>
      <c r="GH789" s="9"/>
      <c r="GI789" s="9"/>
      <c r="GJ789" s="9"/>
      <c r="GK789" s="9"/>
      <c r="GL789" s="9"/>
      <c r="GM789" s="9"/>
      <c r="GN789" s="9"/>
      <c r="GO789" s="9"/>
      <c r="GP789" s="9"/>
      <c r="GQ789" s="9"/>
    </row>
    <row r="790" spans="2:199" ht="15"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  <c r="EF790" s="9"/>
      <c r="EG790" s="9"/>
      <c r="EH790" s="9"/>
      <c r="EI790" s="9"/>
      <c r="EJ790" s="9"/>
      <c r="EK790" s="9"/>
      <c r="EL790" s="9"/>
      <c r="EM790" s="9"/>
      <c r="EN790" s="9"/>
      <c r="EO790" s="9"/>
      <c r="EP790" s="9"/>
      <c r="EQ790" s="9"/>
      <c r="ER790" s="9"/>
      <c r="ES790" s="9"/>
      <c r="ET790" s="9"/>
      <c r="EU790" s="9"/>
      <c r="EV790" s="9"/>
      <c r="EW790" s="9"/>
      <c r="EX790" s="9"/>
      <c r="EY790" s="9"/>
      <c r="EZ790" s="9"/>
      <c r="FA790" s="9"/>
      <c r="FB790" s="9"/>
      <c r="FC790" s="9"/>
      <c r="FD790" s="9"/>
      <c r="FE790" s="9"/>
      <c r="FF790" s="9"/>
      <c r="FG790" s="9"/>
      <c r="FH790" s="9"/>
      <c r="FI790" s="9"/>
      <c r="FJ790" s="9"/>
      <c r="FK790" s="9"/>
      <c r="FL790" s="9"/>
      <c r="FM790" s="9"/>
      <c r="FN790" s="9"/>
      <c r="FO790" s="9"/>
      <c r="FP790" s="9"/>
      <c r="FQ790" s="9"/>
      <c r="FR790" s="9"/>
      <c r="FS790" s="9"/>
      <c r="FT790" s="9"/>
      <c r="FU790" s="9"/>
      <c r="FV790" s="9"/>
      <c r="FW790" s="9"/>
      <c r="FX790" s="9"/>
      <c r="FY790" s="9"/>
      <c r="FZ790" s="9"/>
      <c r="GA790" s="9"/>
      <c r="GB790" s="9"/>
      <c r="GC790" s="9"/>
      <c r="GD790" s="9"/>
      <c r="GE790" s="9"/>
      <c r="GF790" s="9"/>
      <c r="GG790" s="9"/>
      <c r="GH790" s="9"/>
      <c r="GI790" s="9"/>
      <c r="GJ790" s="9"/>
      <c r="GK790" s="9"/>
      <c r="GL790" s="9"/>
      <c r="GM790" s="9"/>
      <c r="GN790" s="9"/>
      <c r="GO790" s="9"/>
      <c r="GP790" s="9"/>
      <c r="GQ790" s="9"/>
    </row>
    <row r="791" spans="2:199" ht="15"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/>
      <c r="EG791" s="9"/>
      <c r="EH791" s="9"/>
      <c r="EI791" s="9"/>
      <c r="EJ791" s="9"/>
      <c r="EK791" s="9"/>
      <c r="EL791" s="9"/>
      <c r="EM791" s="9"/>
      <c r="EN791" s="9"/>
      <c r="EO791" s="9"/>
      <c r="EP791" s="9"/>
      <c r="EQ791" s="9"/>
      <c r="ER791" s="9"/>
      <c r="ES791" s="9"/>
      <c r="ET791" s="9"/>
      <c r="EU791" s="9"/>
      <c r="EV791" s="9"/>
      <c r="EW791" s="9"/>
      <c r="EX791" s="9"/>
      <c r="EY791" s="9"/>
      <c r="EZ791" s="9"/>
      <c r="FA791" s="9"/>
      <c r="FB791" s="9"/>
      <c r="FC791" s="9"/>
      <c r="FD791" s="9"/>
      <c r="FE791" s="9"/>
      <c r="FF791" s="9"/>
      <c r="FG791" s="9"/>
      <c r="FH791" s="9"/>
      <c r="FI791" s="9"/>
      <c r="FJ791" s="9"/>
      <c r="FK791" s="9"/>
      <c r="FL791" s="9"/>
      <c r="FM791" s="9"/>
      <c r="FN791" s="9"/>
      <c r="FO791" s="9"/>
      <c r="FP791" s="9"/>
      <c r="FQ791" s="9"/>
      <c r="FR791" s="9"/>
      <c r="FS791" s="9"/>
      <c r="FT791" s="9"/>
      <c r="FU791" s="9"/>
      <c r="FV791" s="9"/>
      <c r="FW791" s="9"/>
      <c r="FX791" s="9"/>
      <c r="FY791" s="9"/>
      <c r="FZ791" s="9"/>
      <c r="GA791" s="9"/>
      <c r="GB791" s="9"/>
      <c r="GC791" s="9"/>
      <c r="GD791" s="9"/>
      <c r="GE791" s="9"/>
      <c r="GF791" s="9"/>
      <c r="GG791" s="9"/>
      <c r="GH791" s="9"/>
      <c r="GI791" s="9"/>
      <c r="GJ791" s="9"/>
      <c r="GK791" s="9"/>
      <c r="GL791" s="9"/>
      <c r="GM791" s="9"/>
      <c r="GN791" s="9"/>
      <c r="GO791" s="9"/>
      <c r="GP791" s="9"/>
      <c r="GQ791" s="9"/>
    </row>
    <row r="792" spans="2:199" ht="15"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  <c r="EH792" s="9"/>
      <c r="EI792" s="9"/>
      <c r="EJ792" s="9"/>
      <c r="EK792" s="9"/>
      <c r="EL792" s="9"/>
      <c r="EM792" s="9"/>
      <c r="EN792" s="9"/>
      <c r="EO792" s="9"/>
      <c r="EP792" s="9"/>
      <c r="EQ792" s="9"/>
      <c r="ER792" s="9"/>
      <c r="ES792" s="9"/>
      <c r="ET792" s="9"/>
      <c r="EU792" s="9"/>
      <c r="EV792" s="9"/>
      <c r="EW792" s="9"/>
      <c r="EX792" s="9"/>
      <c r="EY792" s="9"/>
      <c r="EZ792" s="9"/>
      <c r="FA792" s="9"/>
      <c r="FB792" s="9"/>
      <c r="FC792" s="9"/>
      <c r="FD792" s="9"/>
      <c r="FE792" s="9"/>
      <c r="FF792" s="9"/>
      <c r="FG792" s="9"/>
      <c r="FH792" s="9"/>
      <c r="FI792" s="9"/>
      <c r="FJ792" s="9"/>
      <c r="FK792" s="9"/>
      <c r="FL792" s="9"/>
      <c r="FM792" s="9"/>
      <c r="FN792" s="9"/>
      <c r="FO792" s="9"/>
      <c r="FP792" s="9"/>
      <c r="FQ792" s="9"/>
      <c r="FR792" s="9"/>
      <c r="FS792" s="9"/>
      <c r="FT792" s="9"/>
      <c r="FU792" s="9"/>
      <c r="FV792" s="9"/>
      <c r="FW792" s="9"/>
      <c r="FX792" s="9"/>
      <c r="FY792" s="9"/>
      <c r="FZ792" s="9"/>
      <c r="GA792" s="9"/>
      <c r="GB792" s="9"/>
      <c r="GC792" s="9"/>
      <c r="GD792" s="9"/>
      <c r="GE792" s="9"/>
      <c r="GF792" s="9"/>
      <c r="GG792" s="9"/>
      <c r="GH792" s="9"/>
      <c r="GI792" s="9"/>
      <c r="GJ792" s="9"/>
      <c r="GK792" s="9"/>
      <c r="GL792" s="9"/>
      <c r="GM792" s="9"/>
      <c r="GN792" s="9"/>
      <c r="GO792" s="9"/>
      <c r="GP792" s="9"/>
      <c r="GQ792" s="9"/>
    </row>
    <row r="793" spans="2:199" ht="15"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  <c r="EC793" s="9"/>
      <c r="ED793" s="9"/>
      <c r="EE793" s="9"/>
      <c r="EF793" s="9"/>
      <c r="EG793" s="9"/>
      <c r="EH793" s="9"/>
      <c r="EI793" s="9"/>
      <c r="EJ793" s="9"/>
      <c r="EK793" s="9"/>
      <c r="EL793" s="9"/>
      <c r="EM793" s="9"/>
      <c r="EN793" s="9"/>
      <c r="EO793" s="9"/>
      <c r="EP793" s="9"/>
      <c r="EQ793" s="9"/>
      <c r="ER793" s="9"/>
      <c r="ES793" s="9"/>
      <c r="ET793" s="9"/>
      <c r="EU793" s="9"/>
      <c r="EV793" s="9"/>
      <c r="EW793" s="9"/>
      <c r="EX793" s="9"/>
      <c r="EY793" s="9"/>
      <c r="EZ793" s="9"/>
      <c r="FA793" s="9"/>
      <c r="FB793" s="9"/>
      <c r="FC793" s="9"/>
      <c r="FD793" s="9"/>
      <c r="FE793" s="9"/>
      <c r="FF793" s="9"/>
      <c r="FG793" s="9"/>
      <c r="FH793" s="9"/>
      <c r="FI793" s="9"/>
      <c r="FJ793" s="9"/>
      <c r="FK793" s="9"/>
      <c r="FL793" s="9"/>
      <c r="FM793" s="9"/>
      <c r="FN793" s="9"/>
      <c r="FO793" s="9"/>
      <c r="FP793" s="9"/>
      <c r="FQ793" s="9"/>
      <c r="FR793" s="9"/>
      <c r="FS793" s="9"/>
      <c r="FT793" s="9"/>
      <c r="FU793" s="9"/>
      <c r="FV793" s="9"/>
      <c r="FW793" s="9"/>
      <c r="FX793" s="9"/>
      <c r="FY793" s="9"/>
      <c r="FZ793" s="9"/>
      <c r="GA793" s="9"/>
      <c r="GB793" s="9"/>
      <c r="GC793" s="9"/>
      <c r="GD793" s="9"/>
      <c r="GE793" s="9"/>
      <c r="GF793" s="9"/>
      <c r="GG793" s="9"/>
      <c r="GH793" s="9"/>
      <c r="GI793" s="9"/>
      <c r="GJ793" s="9"/>
      <c r="GK793" s="9"/>
      <c r="GL793" s="9"/>
      <c r="GM793" s="9"/>
      <c r="GN793" s="9"/>
      <c r="GO793" s="9"/>
      <c r="GP793" s="9"/>
      <c r="GQ793" s="9"/>
    </row>
    <row r="794" spans="2:199" ht="15"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  <c r="EC794" s="9"/>
      <c r="ED794" s="9"/>
      <c r="EE794" s="9"/>
      <c r="EF794" s="9"/>
      <c r="EG794" s="9"/>
      <c r="EH794" s="9"/>
      <c r="EI794" s="9"/>
      <c r="EJ794" s="9"/>
      <c r="EK794" s="9"/>
      <c r="EL794" s="9"/>
      <c r="EM794" s="9"/>
      <c r="EN794" s="9"/>
      <c r="EO794" s="9"/>
      <c r="EP794" s="9"/>
      <c r="EQ794" s="9"/>
      <c r="ER794" s="9"/>
      <c r="ES794" s="9"/>
      <c r="ET794" s="9"/>
      <c r="EU794" s="9"/>
      <c r="EV794" s="9"/>
      <c r="EW794" s="9"/>
      <c r="EX794" s="9"/>
      <c r="EY794" s="9"/>
      <c r="EZ794" s="9"/>
      <c r="FA794" s="9"/>
      <c r="FB794" s="9"/>
      <c r="FC794" s="9"/>
      <c r="FD794" s="9"/>
      <c r="FE794" s="9"/>
      <c r="FF794" s="9"/>
      <c r="FG794" s="9"/>
      <c r="FH794" s="9"/>
      <c r="FI794" s="9"/>
      <c r="FJ794" s="9"/>
      <c r="FK794" s="9"/>
      <c r="FL794" s="9"/>
      <c r="FM794" s="9"/>
      <c r="FN794" s="9"/>
      <c r="FO794" s="9"/>
      <c r="FP794" s="9"/>
      <c r="FQ794" s="9"/>
      <c r="FR794" s="9"/>
      <c r="FS794" s="9"/>
      <c r="FT794" s="9"/>
      <c r="FU794" s="9"/>
      <c r="FV794" s="9"/>
      <c r="FW794" s="9"/>
      <c r="FX794" s="9"/>
      <c r="FY794" s="9"/>
      <c r="FZ794" s="9"/>
      <c r="GA794" s="9"/>
      <c r="GB794" s="9"/>
      <c r="GC794" s="9"/>
      <c r="GD794" s="9"/>
      <c r="GE794" s="9"/>
      <c r="GF794" s="9"/>
      <c r="GG794" s="9"/>
      <c r="GH794" s="9"/>
      <c r="GI794" s="9"/>
      <c r="GJ794" s="9"/>
      <c r="GK794" s="9"/>
      <c r="GL794" s="9"/>
      <c r="GM794" s="9"/>
      <c r="GN794" s="9"/>
      <c r="GO794" s="9"/>
      <c r="GP794" s="9"/>
      <c r="GQ794" s="9"/>
    </row>
    <row r="795" spans="2:199" ht="15"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/>
      <c r="EG795" s="9"/>
      <c r="EH795" s="9"/>
      <c r="EI795" s="9"/>
      <c r="EJ795" s="9"/>
      <c r="EK795" s="9"/>
      <c r="EL795" s="9"/>
      <c r="EM795" s="9"/>
      <c r="EN795" s="9"/>
      <c r="EO795" s="9"/>
      <c r="EP795" s="9"/>
      <c r="EQ795" s="9"/>
      <c r="ER795" s="9"/>
      <c r="ES795" s="9"/>
      <c r="ET795" s="9"/>
      <c r="EU795" s="9"/>
      <c r="EV795" s="9"/>
      <c r="EW795" s="9"/>
      <c r="EX795" s="9"/>
      <c r="EY795" s="9"/>
      <c r="EZ795" s="9"/>
      <c r="FA795" s="9"/>
      <c r="FB795" s="9"/>
      <c r="FC795" s="9"/>
      <c r="FD795" s="9"/>
      <c r="FE795" s="9"/>
      <c r="FF795" s="9"/>
      <c r="FG795" s="9"/>
      <c r="FH795" s="9"/>
      <c r="FI795" s="9"/>
      <c r="FJ795" s="9"/>
      <c r="FK795" s="9"/>
      <c r="FL795" s="9"/>
      <c r="FM795" s="9"/>
      <c r="FN795" s="9"/>
      <c r="FO795" s="9"/>
      <c r="FP795" s="9"/>
      <c r="FQ795" s="9"/>
      <c r="FR795" s="9"/>
      <c r="FS795" s="9"/>
      <c r="FT795" s="9"/>
      <c r="FU795" s="9"/>
      <c r="FV795" s="9"/>
      <c r="FW795" s="9"/>
      <c r="FX795" s="9"/>
      <c r="FY795" s="9"/>
      <c r="FZ795" s="9"/>
      <c r="GA795" s="9"/>
      <c r="GB795" s="9"/>
      <c r="GC795" s="9"/>
      <c r="GD795" s="9"/>
      <c r="GE795" s="9"/>
      <c r="GF795" s="9"/>
      <c r="GG795" s="9"/>
      <c r="GH795" s="9"/>
      <c r="GI795" s="9"/>
      <c r="GJ795" s="9"/>
      <c r="GK795" s="9"/>
      <c r="GL795" s="9"/>
      <c r="GM795" s="9"/>
      <c r="GN795" s="9"/>
      <c r="GO795" s="9"/>
      <c r="GP795" s="9"/>
      <c r="GQ795" s="9"/>
    </row>
    <row r="796" spans="2:199" ht="15"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  <c r="EB796" s="9"/>
      <c r="EC796" s="9"/>
      <c r="ED796" s="9"/>
      <c r="EE796" s="9"/>
      <c r="EF796" s="9"/>
      <c r="EG796" s="9"/>
      <c r="EH796" s="9"/>
      <c r="EI796" s="9"/>
      <c r="EJ796" s="9"/>
      <c r="EK796" s="9"/>
      <c r="EL796" s="9"/>
      <c r="EM796" s="9"/>
      <c r="EN796" s="9"/>
      <c r="EO796" s="9"/>
      <c r="EP796" s="9"/>
      <c r="EQ796" s="9"/>
      <c r="ER796" s="9"/>
      <c r="ES796" s="9"/>
      <c r="ET796" s="9"/>
      <c r="EU796" s="9"/>
      <c r="EV796" s="9"/>
      <c r="EW796" s="9"/>
      <c r="EX796" s="9"/>
      <c r="EY796" s="9"/>
      <c r="EZ796" s="9"/>
      <c r="FA796" s="9"/>
      <c r="FB796" s="9"/>
      <c r="FC796" s="9"/>
      <c r="FD796" s="9"/>
      <c r="FE796" s="9"/>
      <c r="FF796" s="9"/>
      <c r="FG796" s="9"/>
      <c r="FH796" s="9"/>
      <c r="FI796" s="9"/>
      <c r="FJ796" s="9"/>
      <c r="FK796" s="9"/>
      <c r="FL796" s="9"/>
      <c r="FM796" s="9"/>
      <c r="FN796" s="9"/>
      <c r="FO796" s="9"/>
      <c r="FP796" s="9"/>
      <c r="FQ796" s="9"/>
      <c r="FR796" s="9"/>
      <c r="FS796" s="9"/>
      <c r="FT796" s="9"/>
      <c r="FU796" s="9"/>
      <c r="FV796" s="9"/>
      <c r="FW796" s="9"/>
      <c r="FX796" s="9"/>
      <c r="FY796" s="9"/>
      <c r="FZ796" s="9"/>
      <c r="GA796" s="9"/>
      <c r="GB796" s="9"/>
      <c r="GC796" s="9"/>
      <c r="GD796" s="9"/>
      <c r="GE796" s="9"/>
      <c r="GF796" s="9"/>
      <c r="GG796" s="9"/>
      <c r="GH796" s="9"/>
      <c r="GI796" s="9"/>
      <c r="GJ796" s="9"/>
      <c r="GK796" s="9"/>
      <c r="GL796" s="9"/>
      <c r="GM796" s="9"/>
      <c r="GN796" s="9"/>
      <c r="GO796" s="9"/>
      <c r="GP796" s="9"/>
      <c r="GQ796" s="9"/>
    </row>
    <row r="797" spans="2:199" ht="15"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  <c r="EC797" s="9"/>
      <c r="ED797" s="9"/>
      <c r="EE797" s="9"/>
      <c r="EF797" s="9"/>
      <c r="EG797" s="9"/>
      <c r="EH797" s="9"/>
      <c r="EI797" s="9"/>
      <c r="EJ797" s="9"/>
      <c r="EK797" s="9"/>
      <c r="EL797" s="9"/>
      <c r="EM797" s="9"/>
      <c r="EN797" s="9"/>
      <c r="EO797" s="9"/>
      <c r="EP797" s="9"/>
      <c r="EQ797" s="9"/>
      <c r="ER797" s="9"/>
      <c r="ES797" s="9"/>
      <c r="ET797" s="9"/>
      <c r="EU797" s="9"/>
      <c r="EV797" s="9"/>
      <c r="EW797" s="9"/>
      <c r="EX797" s="9"/>
      <c r="EY797" s="9"/>
      <c r="EZ797" s="9"/>
      <c r="FA797" s="9"/>
      <c r="FB797" s="9"/>
      <c r="FC797" s="9"/>
      <c r="FD797" s="9"/>
      <c r="FE797" s="9"/>
      <c r="FF797" s="9"/>
      <c r="FG797" s="9"/>
      <c r="FH797" s="9"/>
      <c r="FI797" s="9"/>
      <c r="FJ797" s="9"/>
      <c r="FK797" s="9"/>
      <c r="FL797" s="9"/>
      <c r="FM797" s="9"/>
      <c r="FN797" s="9"/>
      <c r="FO797" s="9"/>
      <c r="FP797" s="9"/>
      <c r="FQ797" s="9"/>
      <c r="FR797" s="9"/>
      <c r="FS797" s="9"/>
      <c r="FT797" s="9"/>
      <c r="FU797" s="9"/>
      <c r="FV797" s="9"/>
      <c r="FW797" s="9"/>
      <c r="FX797" s="9"/>
      <c r="FY797" s="9"/>
      <c r="FZ797" s="9"/>
      <c r="GA797" s="9"/>
      <c r="GB797" s="9"/>
      <c r="GC797" s="9"/>
      <c r="GD797" s="9"/>
      <c r="GE797" s="9"/>
      <c r="GF797" s="9"/>
      <c r="GG797" s="9"/>
      <c r="GH797" s="9"/>
      <c r="GI797" s="9"/>
      <c r="GJ797" s="9"/>
      <c r="GK797" s="9"/>
      <c r="GL797" s="9"/>
      <c r="GM797" s="9"/>
      <c r="GN797" s="9"/>
      <c r="GO797" s="9"/>
      <c r="GP797" s="9"/>
      <c r="GQ797" s="9"/>
    </row>
    <row r="798" spans="2:199" ht="15"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  <c r="EC798" s="9"/>
      <c r="ED798" s="9"/>
      <c r="EE798" s="9"/>
      <c r="EF798" s="9"/>
      <c r="EG798" s="9"/>
      <c r="EH798" s="9"/>
      <c r="EI798" s="9"/>
      <c r="EJ798" s="9"/>
      <c r="EK798" s="9"/>
      <c r="EL798" s="9"/>
      <c r="EM798" s="9"/>
      <c r="EN798" s="9"/>
      <c r="EO798" s="9"/>
      <c r="EP798" s="9"/>
      <c r="EQ798" s="9"/>
      <c r="ER798" s="9"/>
      <c r="ES798" s="9"/>
      <c r="ET798" s="9"/>
      <c r="EU798" s="9"/>
      <c r="EV798" s="9"/>
      <c r="EW798" s="9"/>
      <c r="EX798" s="9"/>
      <c r="EY798" s="9"/>
      <c r="EZ798" s="9"/>
      <c r="FA798" s="9"/>
      <c r="FB798" s="9"/>
      <c r="FC798" s="9"/>
      <c r="FD798" s="9"/>
      <c r="FE798" s="9"/>
      <c r="FF798" s="9"/>
      <c r="FG798" s="9"/>
      <c r="FH798" s="9"/>
      <c r="FI798" s="9"/>
      <c r="FJ798" s="9"/>
      <c r="FK798" s="9"/>
      <c r="FL798" s="9"/>
      <c r="FM798" s="9"/>
      <c r="FN798" s="9"/>
      <c r="FO798" s="9"/>
      <c r="FP798" s="9"/>
      <c r="FQ798" s="9"/>
      <c r="FR798" s="9"/>
      <c r="FS798" s="9"/>
      <c r="FT798" s="9"/>
      <c r="FU798" s="9"/>
      <c r="FV798" s="9"/>
      <c r="FW798" s="9"/>
      <c r="FX798" s="9"/>
      <c r="FY798" s="9"/>
      <c r="FZ798" s="9"/>
      <c r="GA798" s="9"/>
      <c r="GB798" s="9"/>
      <c r="GC798" s="9"/>
      <c r="GD798" s="9"/>
      <c r="GE798" s="9"/>
      <c r="GF798" s="9"/>
      <c r="GG798" s="9"/>
      <c r="GH798" s="9"/>
      <c r="GI798" s="9"/>
      <c r="GJ798" s="9"/>
      <c r="GK798" s="9"/>
      <c r="GL798" s="9"/>
      <c r="GM798" s="9"/>
      <c r="GN798" s="9"/>
      <c r="GO798" s="9"/>
      <c r="GP798" s="9"/>
      <c r="GQ798" s="9"/>
    </row>
    <row r="799" spans="2:199" ht="15"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  <c r="EF799" s="9"/>
      <c r="EG799" s="9"/>
      <c r="EH799" s="9"/>
      <c r="EI799" s="9"/>
      <c r="EJ799" s="9"/>
      <c r="EK799" s="9"/>
      <c r="EL799" s="9"/>
      <c r="EM799" s="9"/>
      <c r="EN799" s="9"/>
      <c r="EO799" s="9"/>
      <c r="EP799" s="9"/>
      <c r="EQ799" s="9"/>
      <c r="ER799" s="9"/>
      <c r="ES799" s="9"/>
      <c r="ET799" s="9"/>
      <c r="EU799" s="9"/>
      <c r="EV799" s="9"/>
      <c r="EW799" s="9"/>
      <c r="EX799" s="9"/>
      <c r="EY799" s="9"/>
      <c r="EZ799" s="9"/>
      <c r="FA799" s="9"/>
      <c r="FB799" s="9"/>
      <c r="FC799" s="9"/>
      <c r="FD799" s="9"/>
      <c r="FE799" s="9"/>
      <c r="FF799" s="9"/>
      <c r="FG799" s="9"/>
      <c r="FH799" s="9"/>
      <c r="FI799" s="9"/>
      <c r="FJ799" s="9"/>
      <c r="FK799" s="9"/>
      <c r="FL799" s="9"/>
      <c r="FM799" s="9"/>
      <c r="FN799" s="9"/>
      <c r="FO799" s="9"/>
      <c r="FP799" s="9"/>
      <c r="FQ799" s="9"/>
      <c r="FR799" s="9"/>
      <c r="FS799" s="9"/>
      <c r="FT799" s="9"/>
      <c r="FU799" s="9"/>
      <c r="FV799" s="9"/>
      <c r="FW799" s="9"/>
      <c r="FX799" s="9"/>
      <c r="FY799" s="9"/>
      <c r="FZ799" s="9"/>
      <c r="GA799" s="9"/>
      <c r="GB799" s="9"/>
      <c r="GC799" s="9"/>
      <c r="GD799" s="9"/>
      <c r="GE799" s="9"/>
      <c r="GF799" s="9"/>
      <c r="GG799" s="9"/>
      <c r="GH799" s="9"/>
      <c r="GI799" s="9"/>
      <c r="GJ799" s="9"/>
      <c r="GK799" s="9"/>
      <c r="GL799" s="9"/>
      <c r="GM799" s="9"/>
      <c r="GN799" s="9"/>
      <c r="GO799" s="9"/>
      <c r="GP799" s="9"/>
      <c r="GQ799" s="9"/>
    </row>
    <row r="800" spans="2:199" ht="15"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  <c r="EC800" s="9"/>
      <c r="ED800" s="9"/>
      <c r="EE800" s="9"/>
      <c r="EF800" s="9"/>
      <c r="EG800" s="9"/>
      <c r="EH800" s="9"/>
      <c r="EI800" s="9"/>
      <c r="EJ800" s="9"/>
      <c r="EK800" s="9"/>
      <c r="EL800" s="9"/>
      <c r="EM800" s="9"/>
      <c r="EN800" s="9"/>
      <c r="EO800" s="9"/>
      <c r="EP800" s="9"/>
      <c r="EQ800" s="9"/>
      <c r="ER800" s="9"/>
      <c r="ES800" s="9"/>
      <c r="ET800" s="9"/>
      <c r="EU800" s="9"/>
      <c r="EV800" s="9"/>
      <c r="EW800" s="9"/>
      <c r="EX800" s="9"/>
      <c r="EY800" s="9"/>
      <c r="EZ800" s="9"/>
      <c r="FA800" s="9"/>
      <c r="FB800" s="9"/>
      <c r="FC800" s="9"/>
      <c r="FD800" s="9"/>
      <c r="FE800" s="9"/>
      <c r="FF800" s="9"/>
      <c r="FG800" s="9"/>
      <c r="FH800" s="9"/>
      <c r="FI800" s="9"/>
      <c r="FJ800" s="9"/>
      <c r="FK800" s="9"/>
      <c r="FL800" s="9"/>
      <c r="FM800" s="9"/>
      <c r="FN800" s="9"/>
      <c r="FO800" s="9"/>
      <c r="FP800" s="9"/>
      <c r="FQ800" s="9"/>
      <c r="FR800" s="9"/>
      <c r="FS800" s="9"/>
      <c r="FT800" s="9"/>
      <c r="FU800" s="9"/>
      <c r="FV800" s="9"/>
      <c r="FW800" s="9"/>
      <c r="FX800" s="9"/>
      <c r="FY800" s="9"/>
      <c r="FZ800" s="9"/>
      <c r="GA800" s="9"/>
      <c r="GB800" s="9"/>
      <c r="GC800" s="9"/>
      <c r="GD800" s="9"/>
      <c r="GE800" s="9"/>
      <c r="GF800" s="9"/>
      <c r="GG800" s="9"/>
      <c r="GH800" s="9"/>
      <c r="GI800" s="9"/>
      <c r="GJ800" s="9"/>
      <c r="GK800" s="9"/>
      <c r="GL800" s="9"/>
      <c r="GM800" s="9"/>
      <c r="GN800" s="9"/>
      <c r="GO800" s="9"/>
      <c r="GP800" s="9"/>
      <c r="GQ800" s="9"/>
    </row>
    <row r="801" spans="2:199" ht="15"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  <c r="EC801" s="9"/>
      <c r="ED801" s="9"/>
      <c r="EE801" s="9"/>
      <c r="EF801" s="9"/>
      <c r="EG801" s="9"/>
      <c r="EH801" s="9"/>
      <c r="EI801" s="9"/>
      <c r="EJ801" s="9"/>
      <c r="EK801" s="9"/>
      <c r="EL801" s="9"/>
      <c r="EM801" s="9"/>
      <c r="EN801" s="9"/>
      <c r="EO801" s="9"/>
      <c r="EP801" s="9"/>
      <c r="EQ801" s="9"/>
      <c r="ER801" s="9"/>
      <c r="ES801" s="9"/>
      <c r="ET801" s="9"/>
      <c r="EU801" s="9"/>
      <c r="EV801" s="9"/>
      <c r="EW801" s="9"/>
      <c r="EX801" s="9"/>
      <c r="EY801" s="9"/>
      <c r="EZ801" s="9"/>
      <c r="FA801" s="9"/>
      <c r="FB801" s="9"/>
      <c r="FC801" s="9"/>
      <c r="FD801" s="9"/>
      <c r="FE801" s="9"/>
      <c r="FF801" s="9"/>
      <c r="FG801" s="9"/>
      <c r="FH801" s="9"/>
      <c r="FI801" s="9"/>
      <c r="FJ801" s="9"/>
      <c r="FK801" s="9"/>
      <c r="FL801" s="9"/>
      <c r="FM801" s="9"/>
      <c r="FN801" s="9"/>
      <c r="FO801" s="9"/>
      <c r="FP801" s="9"/>
      <c r="FQ801" s="9"/>
      <c r="FR801" s="9"/>
      <c r="FS801" s="9"/>
      <c r="FT801" s="9"/>
      <c r="FU801" s="9"/>
      <c r="FV801" s="9"/>
      <c r="FW801" s="9"/>
      <c r="FX801" s="9"/>
      <c r="FY801" s="9"/>
      <c r="FZ801" s="9"/>
      <c r="GA801" s="9"/>
      <c r="GB801" s="9"/>
      <c r="GC801" s="9"/>
      <c r="GD801" s="9"/>
      <c r="GE801" s="9"/>
      <c r="GF801" s="9"/>
      <c r="GG801" s="9"/>
      <c r="GH801" s="9"/>
      <c r="GI801" s="9"/>
      <c r="GJ801" s="9"/>
      <c r="GK801" s="9"/>
      <c r="GL801" s="9"/>
      <c r="GM801" s="9"/>
      <c r="GN801" s="9"/>
      <c r="GO801" s="9"/>
      <c r="GP801" s="9"/>
      <c r="GQ801" s="9"/>
    </row>
    <row r="802" spans="2:199" ht="15"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  <c r="EB802" s="9"/>
      <c r="EC802" s="9"/>
      <c r="ED802" s="9"/>
      <c r="EE802" s="9"/>
      <c r="EF802" s="9"/>
      <c r="EG802" s="9"/>
      <c r="EH802" s="9"/>
      <c r="EI802" s="9"/>
      <c r="EJ802" s="9"/>
      <c r="EK802" s="9"/>
      <c r="EL802" s="9"/>
      <c r="EM802" s="9"/>
      <c r="EN802" s="9"/>
      <c r="EO802" s="9"/>
      <c r="EP802" s="9"/>
      <c r="EQ802" s="9"/>
      <c r="ER802" s="9"/>
      <c r="ES802" s="9"/>
      <c r="ET802" s="9"/>
      <c r="EU802" s="9"/>
      <c r="EV802" s="9"/>
      <c r="EW802" s="9"/>
      <c r="EX802" s="9"/>
      <c r="EY802" s="9"/>
      <c r="EZ802" s="9"/>
      <c r="FA802" s="9"/>
      <c r="FB802" s="9"/>
      <c r="FC802" s="9"/>
      <c r="FD802" s="9"/>
      <c r="FE802" s="9"/>
      <c r="FF802" s="9"/>
      <c r="FG802" s="9"/>
      <c r="FH802" s="9"/>
      <c r="FI802" s="9"/>
      <c r="FJ802" s="9"/>
      <c r="FK802" s="9"/>
      <c r="FL802" s="9"/>
      <c r="FM802" s="9"/>
      <c r="FN802" s="9"/>
      <c r="FO802" s="9"/>
      <c r="FP802" s="9"/>
      <c r="FQ802" s="9"/>
      <c r="FR802" s="9"/>
      <c r="FS802" s="9"/>
      <c r="FT802" s="9"/>
      <c r="FU802" s="9"/>
      <c r="FV802" s="9"/>
      <c r="FW802" s="9"/>
      <c r="FX802" s="9"/>
      <c r="FY802" s="9"/>
      <c r="FZ802" s="9"/>
      <c r="GA802" s="9"/>
      <c r="GB802" s="9"/>
      <c r="GC802" s="9"/>
      <c r="GD802" s="9"/>
      <c r="GE802" s="9"/>
      <c r="GF802" s="9"/>
      <c r="GG802" s="9"/>
      <c r="GH802" s="9"/>
      <c r="GI802" s="9"/>
      <c r="GJ802" s="9"/>
      <c r="GK802" s="9"/>
      <c r="GL802" s="9"/>
      <c r="GM802" s="9"/>
      <c r="GN802" s="9"/>
      <c r="GO802" s="9"/>
      <c r="GP802" s="9"/>
      <c r="GQ802" s="9"/>
    </row>
    <row r="803" spans="2:199" ht="15"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/>
      <c r="EG803" s="9"/>
      <c r="EH803" s="9"/>
      <c r="EI803" s="9"/>
      <c r="EJ803" s="9"/>
      <c r="EK803" s="9"/>
      <c r="EL803" s="9"/>
      <c r="EM803" s="9"/>
      <c r="EN803" s="9"/>
      <c r="EO803" s="9"/>
      <c r="EP803" s="9"/>
      <c r="EQ803" s="9"/>
      <c r="ER803" s="9"/>
      <c r="ES803" s="9"/>
      <c r="ET803" s="9"/>
      <c r="EU803" s="9"/>
      <c r="EV803" s="9"/>
      <c r="EW803" s="9"/>
      <c r="EX803" s="9"/>
      <c r="EY803" s="9"/>
      <c r="EZ803" s="9"/>
      <c r="FA803" s="9"/>
      <c r="FB803" s="9"/>
      <c r="FC803" s="9"/>
      <c r="FD803" s="9"/>
      <c r="FE803" s="9"/>
      <c r="FF803" s="9"/>
      <c r="FG803" s="9"/>
      <c r="FH803" s="9"/>
      <c r="FI803" s="9"/>
      <c r="FJ803" s="9"/>
      <c r="FK803" s="9"/>
      <c r="FL803" s="9"/>
      <c r="FM803" s="9"/>
      <c r="FN803" s="9"/>
      <c r="FO803" s="9"/>
      <c r="FP803" s="9"/>
      <c r="FQ803" s="9"/>
      <c r="FR803" s="9"/>
      <c r="FS803" s="9"/>
      <c r="FT803" s="9"/>
      <c r="FU803" s="9"/>
      <c r="FV803" s="9"/>
      <c r="FW803" s="9"/>
      <c r="FX803" s="9"/>
      <c r="FY803" s="9"/>
      <c r="FZ803" s="9"/>
      <c r="GA803" s="9"/>
      <c r="GB803" s="9"/>
      <c r="GC803" s="9"/>
      <c r="GD803" s="9"/>
      <c r="GE803" s="9"/>
      <c r="GF803" s="9"/>
      <c r="GG803" s="9"/>
      <c r="GH803" s="9"/>
      <c r="GI803" s="9"/>
      <c r="GJ803" s="9"/>
      <c r="GK803" s="9"/>
      <c r="GL803" s="9"/>
      <c r="GM803" s="9"/>
      <c r="GN803" s="9"/>
      <c r="GO803" s="9"/>
      <c r="GP803" s="9"/>
      <c r="GQ803" s="9"/>
    </row>
    <row r="804" spans="2:199" ht="15"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  <c r="EB804" s="9"/>
      <c r="EC804" s="9"/>
      <c r="ED804" s="9"/>
      <c r="EE804" s="9"/>
      <c r="EF804" s="9"/>
      <c r="EG804" s="9"/>
      <c r="EH804" s="9"/>
      <c r="EI804" s="9"/>
      <c r="EJ804" s="9"/>
      <c r="EK804" s="9"/>
      <c r="EL804" s="9"/>
      <c r="EM804" s="9"/>
      <c r="EN804" s="9"/>
      <c r="EO804" s="9"/>
      <c r="EP804" s="9"/>
      <c r="EQ804" s="9"/>
      <c r="ER804" s="9"/>
      <c r="ES804" s="9"/>
      <c r="ET804" s="9"/>
      <c r="EU804" s="9"/>
      <c r="EV804" s="9"/>
      <c r="EW804" s="9"/>
      <c r="EX804" s="9"/>
      <c r="EY804" s="9"/>
      <c r="EZ804" s="9"/>
      <c r="FA804" s="9"/>
      <c r="FB804" s="9"/>
      <c r="FC804" s="9"/>
      <c r="FD804" s="9"/>
      <c r="FE804" s="9"/>
      <c r="FF804" s="9"/>
      <c r="FG804" s="9"/>
      <c r="FH804" s="9"/>
      <c r="FI804" s="9"/>
      <c r="FJ804" s="9"/>
      <c r="FK804" s="9"/>
      <c r="FL804" s="9"/>
      <c r="FM804" s="9"/>
      <c r="FN804" s="9"/>
      <c r="FO804" s="9"/>
      <c r="FP804" s="9"/>
      <c r="FQ804" s="9"/>
      <c r="FR804" s="9"/>
      <c r="FS804" s="9"/>
      <c r="FT804" s="9"/>
      <c r="FU804" s="9"/>
      <c r="FV804" s="9"/>
      <c r="FW804" s="9"/>
      <c r="FX804" s="9"/>
      <c r="FY804" s="9"/>
      <c r="FZ804" s="9"/>
      <c r="GA804" s="9"/>
      <c r="GB804" s="9"/>
      <c r="GC804" s="9"/>
      <c r="GD804" s="9"/>
      <c r="GE804" s="9"/>
      <c r="GF804" s="9"/>
      <c r="GG804" s="9"/>
      <c r="GH804" s="9"/>
      <c r="GI804" s="9"/>
      <c r="GJ804" s="9"/>
      <c r="GK804" s="9"/>
      <c r="GL804" s="9"/>
      <c r="GM804" s="9"/>
      <c r="GN804" s="9"/>
      <c r="GO804" s="9"/>
      <c r="GP804" s="9"/>
      <c r="GQ804" s="9"/>
    </row>
    <row r="805" spans="2:199" ht="15"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  <c r="DM805" s="9"/>
      <c r="DN805" s="9"/>
      <c r="DO805" s="9"/>
      <c r="DP805" s="9"/>
      <c r="DQ805" s="9"/>
      <c r="DR805" s="9"/>
      <c r="DS805" s="9"/>
      <c r="DT805" s="9"/>
      <c r="DU805" s="9"/>
      <c r="DV805" s="9"/>
      <c r="DW805" s="9"/>
      <c r="DX805" s="9"/>
      <c r="DY805" s="9"/>
      <c r="DZ805" s="9"/>
      <c r="EA805" s="9"/>
      <c r="EB805" s="9"/>
      <c r="EC805" s="9"/>
      <c r="ED805" s="9"/>
      <c r="EE805" s="9"/>
      <c r="EF805" s="9"/>
      <c r="EG805" s="9"/>
      <c r="EH805" s="9"/>
      <c r="EI805" s="9"/>
      <c r="EJ805" s="9"/>
      <c r="EK805" s="9"/>
      <c r="EL805" s="9"/>
      <c r="EM805" s="9"/>
      <c r="EN805" s="9"/>
      <c r="EO805" s="9"/>
      <c r="EP805" s="9"/>
      <c r="EQ805" s="9"/>
      <c r="ER805" s="9"/>
      <c r="ES805" s="9"/>
      <c r="ET805" s="9"/>
      <c r="EU805" s="9"/>
      <c r="EV805" s="9"/>
      <c r="EW805" s="9"/>
      <c r="EX805" s="9"/>
      <c r="EY805" s="9"/>
      <c r="EZ805" s="9"/>
      <c r="FA805" s="9"/>
      <c r="FB805" s="9"/>
      <c r="FC805" s="9"/>
      <c r="FD805" s="9"/>
      <c r="FE805" s="9"/>
      <c r="FF805" s="9"/>
      <c r="FG805" s="9"/>
      <c r="FH805" s="9"/>
      <c r="FI805" s="9"/>
      <c r="FJ805" s="9"/>
      <c r="FK805" s="9"/>
      <c r="FL805" s="9"/>
      <c r="FM805" s="9"/>
      <c r="FN805" s="9"/>
      <c r="FO805" s="9"/>
      <c r="FP805" s="9"/>
      <c r="FQ805" s="9"/>
      <c r="FR805" s="9"/>
      <c r="FS805" s="9"/>
      <c r="FT805" s="9"/>
      <c r="FU805" s="9"/>
      <c r="FV805" s="9"/>
      <c r="FW805" s="9"/>
      <c r="FX805" s="9"/>
      <c r="FY805" s="9"/>
      <c r="FZ805" s="9"/>
      <c r="GA805" s="9"/>
      <c r="GB805" s="9"/>
      <c r="GC805" s="9"/>
      <c r="GD805" s="9"/>
      <c r="GE805" s="9"/>
      <c r="GF805" s="9"/>
      <c r="GG805" s="9"/>
      <c r="GH805" s="9"/>
      <c r="GI805" s="9"/>
      <c r="GJ805" s="9"/>
      <c r="GK805" s="9"/>
      <c r="GL805" s="9"/>
      <c r="GM805" s="9"/>
      <c r="GN805" s="9"/>
      <c r="GO805" s="9"/>
      <c r="GP805" s="9"/>
      <c r="GQ805" s="9"/>
    </row>
    <row r="806" spans="2:199" ht="15"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  <c r="DM806" s="9"/>
      <c r="DN806" s="9"/>
      <c r="DO806" s="9"/>
      <c r="DP806" s="9"/>
      <c r="DQ806" s="9"/>
      <c r="DR806" s="9"/>
      <c r="DS806" s="9"/>
      <c r="DT806" s="9"/>
      <c r="DU806" s="9"/>
      <c r="DV806" s="9"/>
      <c r="DW806" s="9"/>
      <c r="DX806" s="9"/>
      <c r="DY806" s="9"/>
      <c r="DZ806" s="9"/>
      <c r="EA806" s="9"/>
      <c r="EB806" s="9"/>
      <c r="EC806" s="9"/>
      <c r="ED806" s="9"/>
      <c r="EE806" s="9"/>
      <c r="EF806" s="9"/>
      <c r="EG806" s="9"/>
      <c r="EH806" s="9"/>
      <c r="EI806" s="9"/>
      <c r="EJ806" s="9"/>
      <c r="EK806" s="9"/>
      <c r="EL806" s="9"/>
      <c r="EM806" s="9"/>
      <c r="EN806" s="9"/>
      <c r="EO806" s="9"/>
      <c r="EP806" s="9"/>
      <c r="EQ806" s="9"/>
      <c r="ER806" s="9"/>
      <c r="ES806" s="9"/>
      <c r="ET806" s="9"/>
      <c r="EU806" s="9"/>
      <c r="EV806" s="9"/>
      <c r="EW806" s="9"/>
      <c r="EX806" s="9"/>
      <c r="EY806" s="9"/>
      <c r="EZ806" s="9"/>
      <c r="FA806" s="9"/>
      <c r="FB806" s="9"/>
      <c r="FC806" s="9"/>
      <c r="FD806" s="9"/>
      <c r="FE806" s="9"/>
      <c r="FF806" s="9"/>
      <c r="FG806" s="9"/>
      <c r="FH806" s="9"/>
      <c r="FI806" s="9"/>
      <c r="FJ806" s="9"/>
      <c r="FK806" s="9"/>
      <c r="FL806" s="9"/>
      <c r="FM806" s="9"/>
      <c r="FN806" s="9"/>
      <c r="FO806" s="9"/>
      <c r="FP806" s="9"/>
      <c r="FQ806" s="9"/>
      <c r="FR806" s="9"/>
      <c r="FS806" s="9"/>
      <c r="FT806" s="9"/>
      <c r="FU806" s="9"/>
      <c r="FV806" s="9"/>
      <c r="FW806" s="9"/>
      <c r="FX806" s="9"/>
      <c r="FY806" s="9"/>
      <c r="FZ806" s="9"/>
      <c r="GA806" s="9"/>
      <c r="GB806" s="9"/>
      <c r="GC806" s="9"/>
      <c r="GD806" s="9"/>
      <c r="GE806" s="9"/>
      <c r="GF806" s="9"/>
      <c r="GG806" s="9"/>
      <c r="GH806" s="9"/>
      <c r="GI806" s="9"/>
      <c r="GJ806" s="9"/>
      <c r="GK806" s="9"/>
      <c r="GL806" s="9"/>
      <c r="GM806" s="9"/>
      <c r="GN806" s="9"/>
      <c r="GO806" s="9"/>
      <c r="GP806" s="9"/>
      <c r="GQ806" s="9"/>
    </row>
    <row r="807" spans="2:199" ht="15"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  <c r="EB807" s="9"/>
      <c r="EC807" s="9"/>
      <c r="ED807" s="9"/>
      <c r="EE807" s="9"/>
      <c r="EF807" s="9"/>
      <c r="EG807" s="9"/>
      <c r="EH807" s="9"/>
      <c r="EI807" s="9"/>
      <c r="EJ807" s="9"/>
      <c r="EK807" s="9"/>
      <c r="EL807" s="9"/>
      <c r="EM807" s="9"/>
      <c r="EN807" s="9"/>
      <c r="EO807" s="9"/>
      <c r="EP807" s="9"/>
      <c r="EQ807" s="9"/>
      <c r="ER807" s="9"/>
      <c r="ES807" s="9"/>
      <c r="ET807" s="9"/>
      <c r="EU807" s="9"/>
      <c r="EV807" s="9"/>
      <c r="EW807" s="9"/>
      <c r="EX807" s="9"/>
      <c r="EY807" s="9"/>
      <c r="EZ807" s="9"/>
      <c r="FA807" s="9"/>
      <c r="FB807" s="9"/>
      <c r="FC807" s="9"/>
      <c r="FD807" s="9"/>
      <c r="FE807" s="9"/>
      <c r="FF807" s="9"/>
      <c r="FG807" s="9"/>
      <c r="FH807" s="9"/>
      <c r="FI807" s="9"/>
      <c r="FJ807" s="9"/>
      <c r="FK807" s="9"/>
      <c r="FL807" s="9"/>
      <c r="FM807" s="9"/>
      <c r="FN807" s="9"/>
      <c r="FO807" s="9"/>
      <c r="FP807" s="9"/>
      <c r="FQ807" s="9"/>
      <c r="FR807" s="9"/>
      <c r="FS807" s="9"/>
      <c r="FT807" s="9"/>
      <c r="FU807" s="9"/>
      <c r="FV807" s="9"/>
      <c r="FW807" s="9"/>
      <c r="FX807" s="9"/>
      <c r="FY807" s="9"/>
      <c r="FZ807" s="9"/>
      <c r="GA807" s="9"/>
      <c r="GB807" s="9"/>
      <c r="GC807" s="9"/>
      <c r="GD807" s="9"/>
      <c r="GE807" s="9"/>
      <c r="GF807" s="9"/>
      <c r="GG807" s="9"/>
      <c r="GH807" s="9"/>
      <c r="GI807" s="9"/>
      <c r="GJ807" s="9"/>
      <c r="GK807" s="9"/>
      <c r="GL807" s="9"/>
      <c r="GM807" s="9"/>
      <c r="GN807" s="9"/>
      <c r="GO807" s="9"/>
      <c r="GP807" s="9"/>
      <c r="GQ807" s="9"/>
    </row>
    <row r="808" spans="2:199" ht="15"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  <c r="EC808" s="9"/>
      <c r="ED808" s="9"/>
      <c r="EE808" s="9"/>
      <c r="EF808" s="9"/>
      <c r="EG808" s="9"/>
      <c r="EH808" s="9"/>
      <c r="EI808" s="9"/>
      <c r="EJ808" s="9"/>
      <c r="EK808" s="9"/>
      <c r="EL808" s="9"/>
      <c r="EM808" s="9"/>
      <c r="EN808" s="9"/>
      <c r="EO808" s="9"/>
      <c r="EP808" s="9"/>
      <c r="EQ808" s="9"/>
      <c r="ER808" s="9"/>
      <c r="ES808" s="9"/>
      <c r="ET808" s="9"/>
      <c r="EU808" s="9"/>
      <c r="EV808" s="9"/>
      <c r="EW808" s="9"/>
      <c r="EX808" s="9"/>
      <c r="EY808" s="9"/>
      <c r="EZ808" s="9"/>
      <c r="FA808" s="9"/>
      <c r="FB808" s="9"/>
      <c r="FC808" s="9"/>
      <c r="FD808" s="9"/>
      <c r="FE808" s="9"/>
      <c r="FF808" s="9"/>
      <c r="FG808" s="9"/>
      <c r="FH808" s="9"/>
      <c r="FI808" s="9"/>
      <c r="FJ808" s="9"/>
      <c r="FK808" s="9"/>
      <c r="FL808" s="9"/>
      <c r="FM808" s="9"/>
      <c r="FN808" s="9"/>
      <c r="FO808" s="9"/>
      <c r="FP808" s="9"/>
      <c r="FQ808" s="9"/>
      <c r="FR808" s="9"/>
      <c r="FS808" s="9"/>
      <c r="FT808" s="9"/>
      <c r="FU808" s="9"/>
      <c r="FV808" s="9"/>
      <c r="FW808" s="9"/>
      <c r="FX808" s="9"/>
      <c r="FY808" s="9"/>
      <c r="FZ808" s="9"/>
      <c r="GA808" s="9"/>
      <c r="GB808" s="9"/>
      <c r="GC808" s="9"/>
      <c r="GD808" s="9"/>
      <c r="GE808" s="9"/>
      <c r="GF808" s="9"/>
      <c r="GG808" s="9"/>
      <c r="GH808" s="9"/>
      <c r="GI808" s="9"/>
      <c r="GJ808" s="9"/>
      <c r="GK808" s="9"/>
      <c r="GL808" s="9"/>
      <c r="GM808" s="9"/>
      <c r="GN808" s="9"/>
      <c r="GO808" s="9"/>
      <c r="GP808" s="9"/>
      <c r="GQ808" s="9"/>
    </row>
    <row r="809" spans="2:199" ht="15"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  <c r="EB809" s="9"/>
      <c r="EC809" s="9"/>
      <c r="ED809" s="9"/>
      <c r="EE809" s="9"/>
      <c r="EF809" s="9"/>
      <c r="EG809" s="9"/>
      <c r="EH809" s="9"/>
      <c r="EI809" s="9"/>
      <c r="EJ809" s="9"/>
      <c r="EK809" s="9"/>
      <c r="EL809" s="9"/>
      <c r="EM809" s="9"/>
      <c r="EN809" s="9"/>
      <c r="EO809" s="9"/>
      <c r="EP809" s="9"/>
      <c r="EQ809" s="9"/>
      <c r="ER809" s="9"/>
      <c r="ES809" s="9"/>
      <c r="ET809" s="9"/>
      <c r="EU809" s="9"/>
      <c r="EV809" s="9"/>
      <c r="EW809" s="9"/>
      <c r="EX809" s="9"/>
      <c r="EY809" s="9"/>
      <c r="EZ809" s="9"/>
      <c r="FA809" s="9"/>
      <c r="FB809" s="9"/>
      <c r="FC809" s="9"/>
      <c r="FD809" s="9"/>
      <c r="FE809" s="9"/>
      <c r="FF809" s="9"/>
      <c r="FG809" s="9"/>
      <c r="FH809" s="9"/>
      <c r="FI809" s="9"/>
      <c r="FJ809" s="9"/>
      <c r="FK809" s="9"/>
      <c r="FL809" s="9"/>
      <c r="FM809" s="9"/>
      <c r="FN809" s="9"/>
      <c r="FO809" s="9"/>
      <c r="FP809" s="9"/>
      <c r="FQ809" s="9"/>
      <c r="FR809" s="9"/>
      <c r="FS809" s="9"/>
      <c r="FT809" s="9"/>
      <c r="FU809" s="9"/>
      <c r="FV809" s="9"/>
      <c r="FW809" s="9"/>
      <c r="FX809" s="9"/>
      <c r="FY809" s="9"/>
      <c r="FZ809" s="9"/>
      <c r="GA809" s="9"/>
      <c r="GB809" s="9"/>
      <c r="GC809" s="9"/>
      <c r="GD809" s="9"/>
      <c r="GE809" s="9"/>
      <c r="GF809" s="9"/>
      <c r="GG809" s="9"/>
      <c r="GH809" s="9"/>
      <c r="GI809" s="9"/>
      <c r="GJ809" s="9"/>
      <c r="GK809" s="9"/>
      <c r="GL809" s="9"/>
      <c r="GM809" s="9"/>
      <c r="GN809" s="9"/>
      <c r="GO809" s="9"/>
      <c r="GP809" s="9"/>
      <c r="GQ809" s="9"/>
    </row>
    <row r="810" spans="2:199" ht="15"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  <c r="EC810" s="9"/>
      <c r="ED810" s="9"/>
      <c r="EE810" s="9"/>
      <c r="EF810" s="9"/>
      <c r="EG810" s="9"/>
      <c r="EH810" s="9"/>
      <c r="EI810" s="9"/>
      <c r="EJ810" s="9"/>
      <c r="EK810" s="9"/>
      <c r="EL810" s="9"/>
      <c r="EM810" s="9"/>
      <c r="EN810" s="9"/>
      <c r="EO810" s="9"/>
      <c r="EP810" s="9"/>
      <c r="EQ810" s="9"/>
      <c r="ER810" s="9"/>
      <c r="ES810" s="9"/>
      <c r="ET810" s="9"/>
      <c r="EU810" s="9"/>
      <c r="EV810" s="9"/>
      <c r="EW810" s="9"/>
      <c r="EX810" s="9"/>
      <c r="EY810" s="9"/>
      <c r="EZ810" s="9"/>
      <c r="FA810" s="9"/>
      <c r="FB810" s="9"/>
      <c r="FC810" s="9"/>
      <c r="FD810" s="9"/>
      <c r="FE810" s="9"/>
      <c r="FF810" s="9"/>
      <c r="FG810" s="9"/>
      <c r="FH810" s="9"/>
      <c r="FI810" s="9"/>
      <c r="FJ810" s="9"/>
      <c r="FK810" s="9"/>
      <c r="FL810" s="9"/>
      <c r="FM810" s="9"/>
      <c r="FN810" s="9"/>
      <c r="FO810" s="9"/>
      <c r="FP810" s="9"/>
      <c r="FQ810" s="9"/>
      <c r="FR810" s="9"/>
      <c r="FS810" s="9"/>
      <c r="FT810" s="9"/>
      <c r="FU810" s="9"/>
      <c r="FV810" s="9"/>
      <c r="FW810" s="9"/>
      <c r="FX810" s="9"/>
      <c r="FY810" s="9"/>
      <c r="FZ810" s="9"/>
      <c r="GA810" s="9"/>
      <c r="GB810" s="9"/>
      <c r="GC810" s="9"/>
      <c r="GD810" s="9"/>
      <c r="GE810" s="9"/>
      <c r="GF810" s="9"/>
      <c r="GG810" s="9"/>
      <c r="GH810" s="9"/>
      <c r="GI810" s="9"/>
      <c r="GJ810" s="9"/>
      <c r="GK810" s="9"/>
      <c r="GL810" s="9"/>
      <c r="GM810" s="9"/>
      <c r="GN810" s="9"/>
      <c r="GO810" s="9"/>
      <c r="GP810" s="9"/>
      <c r="GQ810" s="9"/>
    </row>
    <row r="811" spans="2:199" ht="15"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  <c r="DM811" s="9"/>
      <c r="DN811" s="9"/>
      <c r="DO811" s="9"/>
      <c r="DP811" s="9"/>
      <c r="DQ811" s="9"/>
      <c r="DR811" s="9"/>
      <c r="DS811" s="9"/>
      <c r="DT811" s="9"/>
      <c r="DU811" s="9"/>
      <c r="DV811" s="9"/>
      <c r="DW811" s="9"/>
      <c r="DX811" s="9"/>
      <c r="DY811" s="9"/>
      <c r="DZ811" s="9"/>
      <c r="EA811" s="9"/>
      <c r="EB811" s="9"/>
      <c r="EC811" s="9"/>
      <c r="ED811" s="9"/>
      <c r="EE811" s="9"/>
      <c r="EF811" s="9"/>
      <c r="EG811" s="9"/>
      <c r="EH811" s="9"/>
      <c r="EI811" s="9"/>
      <c r="EJ811" s="9"/>
      <c r="EK811" s="9"/>
      <c r="EL811" s="9"/>
      <c r="EM811" s="9"/>
      <c r="EN811" s="9"/>
      <c r="EO811" s="9"/>
      <c r="EP811" s="9"/>
      <c r="EQ811" s="9"/>
      <c r="ER811" s="9"/>
      <c r="ES811" s="9"/>
      <c r="ET811" s="9"/>
      <c r="EU811" s="9"/>
      <c r="EV811" s="9"/>
      <c r="EW811" s="9"/>
      <c r="EX811" s="9"/>
      <c r="EY811" s="9"/>
      <c r="EZ811" s="9"/>
      <c r="FA811" s="9"/>
      <c r="FB811" s="9"/>
      <c r="FC811" s="9"/>
      <c r="FD811" s="9"/>
      <c r="FE811" s="9"/>
      <c r="FF811" s="9"/>
      <c r="FG811" s="9"/>
      <c r="FH811" s="9"/>
      <c r="FI811" s="9"/>
      <c r="FJ811" s="9"/>
      <c r="FK811" s="9"/>
      <c r="FL811" s="9"/>
      <c r="FM811" s="9"/>
      <c r="FN811" s="9"/>
      <c r="FO811" s="9"/>
      <c r="FP811" s="9"/>
      <c r="FQ811" s="9"/>
      <c r="FR811" s="9"/>
      <c r="FS811" s="9"/>
      <c r="FT811" s="9"/>
      <c r="FU811" s="9"/>
      <c r="FV811" s="9"/>
      <c r="FW811" s="9"/>
      <c r="FX811" s="9"/>
      <c r="FY811" s="9"/>
      <c r="FZ811" s="9"/>
      <c r="GA811" s="9"/>
      <c r="GB811" s="9"/>
      <c r="GC811" s="9"/>
      <c r="GD811" s="9"/>
      <c r="GE811" s="9"/>
      <c r="GF811" s="9"/>
      <c r="GG811" s="9"/>
      <c r="GH811" s="9"/>
      <c r="GI811" s="9"/>
      <c r="GJ811" s="9"/>
      <c r="GK811" s="9"/>
      <c r="GL811" s="9"/>
      <c r="GM811" s="9"/>
      <c r="GN811" s="9"/>
      <c r="GO811" s="9"/>
      <c r="GP811" s="9"/>
      <c r="GQ811" s="9"/>
    </row>
    <row r="812" spans="2:199" ht="15"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  <c r="DM812" s="9"/>
      <c r="DN812" s="9"/>
      <c r="DO812" s="9"/>
      <c r="DP812" s="9"/>
      <c r="DQ812" s="9"/>
      <c r="DR812" s="9"/>
      <c r="DS812" s="9"/>
      <c r="DT812" s="9"/>
      <c r="DU812" s="9"/>
      <c r="DV812" s="9"/>
      <c r="DW812" s="9"/>
      <c r="DX812" s="9"/>
      <c r="DY812" s="9"/>
      <c r="DZ812" s="9"/>
      <c r="EA812" s="9"/>
      <c r="EB812" s="9"/>
      <c r="EC812" s="9"/>
      <c r="ED812" s="9"/>
      <c r="EE812" s="9"/>
      <c r="EF812" s="9"/>
      <c r="EG812" s="9"/>
      <c r="EH812" s="9"/>
      <c r="EI812" s="9"/>
      <c r="EJ812" s="9"/>
      <c r="EK812" s="9"/>
      <c r="EL812" s="9"/>
      <c r="EM812" s="9"/>
      <c r="EN812" s="9"/>
      <c r="EO812" s="9"/>
      <c r="EP812" s="9"/>
      <c r="EQ812" s="9"/>
      <c r="ER812" s="9"/>
      <c r="ES812" s="9"/>
      <c r="ET812" s="9"/>
      <c r="EU812" s="9"/>
      <c r="EV812" s="9"/>
      <c r="EW812" s="9"/>
      <c r="EX812" s="9"/>
      <c r="EY812" s="9"/>
      <c r="EZ812" s="9"/>
      <c r="FA812" s="9"/>
      <c r="FB812" s="9"/>
      <c r="FC812" s="9"/>
      <c r="FD812" s="9"/>
      <c r="FE812" s="9"/>
      <c r="FF812" s="9"/>
      <c r="FG812" s="9"/>
      <c r="FH812" s="9"/>
      <c r="FI812" s="9"/>
      <c r="FJ812" s="9"/>
      <c r="FK812" s="9"/>
      <c r="FL812" s="9"/>
      <c r="FM812" s="9"/>
      <c r="FN812" s="9"/>
      <c r="FO812" s="9"/>
      <c r="FP812" s="9"/>
      <c r="FQ812" s="9"/>
      <c r="FR812" s="9"/>
      <c r="FS812" s="9"/>
      <c r="FT812" s="9"/>
      <c r="FU812" s="9"/>
      <c r="FV812" s="9"/>
      <c r="FW812" s="9"/>
      <c r="FX812" s="9"/>
      <c r="FY812" s="9"/>
      <c r="FZ812" s="9"/>
      <c r="GA812" s="9"/>
      <c r="GB812" s="9"/>
      <c r="GC812" s="9"/>
      <c r="GD812" s="9"/>
      <c r="GE812" s="9"/>
      <c r="GF812" s="9"/>
      <c r="GG812" s="9"/>
      <c r="GH812" s="9"/>
      <c r="GI812" s="9"/>
      <c r="GJ812" s="9"/>
      <c r="GK812" s="9"/>
      <c r="GL812" s="9"/>
      <c r="GM812" s="9"/>
      <c r="GN812" s="9"/>
      <c r="GO812" s="9"/>
      <c r="GP812" s="9"/>
      <c r="GQ812" s="9"/>
    </row>
    <row r="813" spans="2:199" ht="15"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  <c r="EF813" s="9"/>
      <c r="EG813" s="9"/>
      <c r="EH813" s="9"/>
      <c r="EI813" s="9"/>
      <c r="EJ813" s="9"/>
      <c r="EK813" s="9"/>
      <c r="EL813" s="9"/>
      <c r="EM813" s="9"/>
      <c r="EN813" s="9"/>
      <c r="EO813" s="9"/>
      <c r="EP813" s="9"/>
      <c r="EQ813" s="9"/>
      <c r="ER813" s="9"/>
      <c r="ES813" s="9"/>
      <c r="ET813" s="9"/>
      <c r="EU813" s="9"/>
      <c r="EV813" s="9"/>
      <c r="EW813" s="9"/>
      <c r="EX813" s="9"/>
      <c r="EY813" s="9"/>
      <c r="EZ813" s="9"/>
      <c r="FA813" s="9"/>
      <c r="FB813" s="9"/>
      <c r="FC813" s="9"/>
      <c r="FD813" s="9"/>
      <c r="FE813" s="9"/>
      <c r="FF813" s="9"/>
      <c r="FG813" s="9"/>
      <c r="FH813" s="9"/>
      <c r="FI813" s="9"/>
      <c r="FJ813" s="9"/>
      <c r="FK813" s="9"/>
      <c r="FL813" s="9"/>
      <c r="FM813" s="9"/>
      <c r="FN813" s="9"/>
      <c r="FO813" s="9"/>
      <c r="FP813" s="9"/>
      <c r="FQ813" s="9"/>
      <c r="FR813" s="9"/>
      <c r="FS813" s="9"/>
      <c r="FT813" s="9"/>
      <c r="FU813" s="9"/>
      <c r="FV813" s="9"/>
      <c r="FW813" s="9"/>
      <c r="FX813" s="9"/>
      <c r="FY813" s="9"/>
      <c r="FZ813" s="9"/>
      <c r="GA813" s="9"/>
      <c r="GB813" s="9"/>
      <c r="GC813" s="9"/>
      <c r="GD813" s="9"/>
      <c r="GE813" s="9"/>
      <c r="GF813" s="9"/>
      <c r="GG813" s="9"/>
      <c r="GH813" s="9"/>
      <c r="GI813" s="9"/>
      <c r="GJ813" s="9"/>
      <c r="GK813" s="9"/>
      <c r="GL813" s="9"/>
      <c r="GM813" s="9"/>
      <c r="GN813" s="9"/>
      <c r="GO813" s="9"/>
      <c r="GP813" s="9"/>
      <c r="GQ813" s="9"/>
    </row>
    <row r="814" spans="2:199" ht="15"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  <c r="EB814" s="9"/>
      <c r="EC814" s="9"/>
      <c r="ED814" s="9"/>
      <c r="EE814" s="9"/>
      <c r="EF814" s="9"/>
      <c r="EG814" s="9"/>
      <c r="EH814" s="9"/>
      <c r="EI814" s="9"/>
      <c r="EJ814" s="9"/>
      <c r="EK814" s="9"/>
      <c r="EL814" s="9"/>
      <c r="EM814" s="9"/>
      <c r="EN814" s="9"/>
      <c r="EO814" s="9"/>
      <c r="EP814" s="9"/>
      <c r="EQ814" s="9"/>
      <c r="ER814" s="9"/>
      <c r="ES814" s="9"/>
      <c r="ET814" s="9"/>
      <c r="EU814" s="9"/>
      <c r="EV814" s="9"/>
      <c r="EW814" s="9"/>
      <c r="EX814" s="9"/>
      <c r="EY814" s="9"/>
      <c r="EZ814" s="9"/>
      <c r="FA814" s="9"/>
      <c r="FB814" s="9"/>
      <c r="FC814" s="9"/>
      <c r="FD814" s="9"/>
      <c r="FE814" s="9"/>
      <c r="FF814" s="9"/>
      <c r="FG814" s="9"/>
      <c r="FH814" s="9"/>
      <c r="FI814" s="9"/>
      <c r="FJ814" s="9"/>
      <c r="FK814" s="9"/>
      <c r="FL814" s="9"/>
      <c r="FM814" s="9"/>
      <c r="FN814" s="9"/>
      <c r="FO814" s="9"/>
      <c r="FP814" s="9"/>
      <c r="FQ814" s="9"/>
      <c r="FR814" s="9"/>
      <c r="FS814" s="9"/>
      <c r="FT814" s="9"/>
      <c r="FU814" s="9"/>
      <c r="FV814" s="9"/>
      <c r="FW814" s="9"/>
      <c r="FX814" s="9"/>
      <c r="FY814" s="9"/>
      <c r="FZ814" s="9"/>
      <c r="GA814" s="9"/>
      <c r="GB814" s="9"/>
      <c r="GC814" s="9"/>
      <c r="GD814" s="9"/>
      <c r="GE814" s="9"/>
      <c r="GF814" s="9"/>
      <c r="GG814" s="9"/>
      <c r="GH814" s="9"/>
      <c r="GI814" s="9"/>
      <c r="GJ814" s="9"/>
      <c r="GK814" s="9"/>
      <c r="GL814" s="9"/>
      <c r="GM814" s="9"/>
      <c r="GN814" s="9"/>
      <c r="GO814" s="9"/>
      <c r="GP814" s="9"/>
      <c r="GQ814" s="9"/>
    </row>
    <row r="815" spans="2:199" ht="15"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/>
      <c r="DV815" s="9"/>
      <c r="DW815" s="9"/>
      <c r="DX815" s="9"/>
      <c r="DY815" s="9"/>
      <c r="DZ815" s="9"/>
      <c r="EA815" s="9"/>
      <c r="EB815" s="9"/>
      <c r="EC815" s="9"/>
      <c r="ED815" s="9"/>
      <c r="EE815" s="9"/>
      <c r="EF815" s="9"/>
      <c r="EG815" s="9"/>
      <c r="EH815" s="9"/>
      <c r="EI815" s="9"/>
      <c r="EJ815" s="9"/>
      <c r="EK815" s="9"/>
      <c r="EL815" s="9"/>
      <c r="EM815" s="9"/>
      <c r="EN815" s="9"/>
      <c r="EO815" s="9"/>
      <c r="EP815" s="9"/>
      <c r="EQ815" s="9"/>
      <c r="ER815" s="9"/>
      <c r="ES815" s="9"/>
      <c r="ET815" s="9"/>
      <c r="EU815" s="9"/>
      <c r="EV815" s="9"/>
      <c r="EW815" s="9"/>
      <c r="EX815" s="9"/>
      <c r="EY815" s="9"/>
      <c r="EZ815" s="9"/>
      <c r="FA815" s="9"/>
      <c r="FB815" s="9"/>
      <c r="FC815" s="9"/>
      <c r="FD815" s="9"/>
      <c r="FE815" s="9"/>
      <c r="FF815" s="9"/>
      <c r="FG815" s="9"/>
      <c r="FH815" s="9"/>
      <c r="FI815" s="9"/>
      <c r="FJ815" s="9"/>
      <c r="FK815" s="9"/>
      <c r="FL815" s="9"/>
      <c r="FM815" s="9"/>
      <c r="FN815" s="9"/>
      <c r="FO815" s="9"/>
      <c r="FP815" s="9"/>
      <c r="FQ815" s="9"/>
      <c r="FR815" s="9"/>
      <c r="FS815" s="9"/>
      <c r="FT815" s="9"/>
      <c r="FU815" s="9"/>
      <c r="FV815" s="9"/>
      <c r="FW815" s="9"/>
      <c r="FX815" s="9"/>
      <c r="FY815" s="9"/>
      <c r="FZ815" s="9"/>
      <c r="GA815" s="9"/>
      <c r="GB815" s="9"/>
      <c r="GC815" s="9"/>
      <c r="GD815" s="9"/>
      <c r="GE815" s="9"/>
      <c r="GF815" s="9"/>
      <c r="GG815" s="9"/>
      <c r="GH815" s="9"/>
      <c r="GI815" s="9"/>
      <c r="GJ815" s="9"/>
      <c r="GK815" s="9"/>
      <c r="GL815" s="9"/>
      <c r="GM815" s="9"/>
      <c r="GN815" s="9"/>
      <c r="GO815" s="9"/>
      <c r="GP815" s="9"/>
      <c r="GQ815" s="9"/>
    </row>
    <row r="816" spans="2:199" ht="15"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  <c r="EF816" s="9"/>
      <c r="EG816" s="9"/>
      <c r="EH816" s="9"/>
      <c r="EI816" s="9"/>
      <c r="EJ816" s="9"/>
      <c r="EK816" s="9"/>
      <c r="EL816" s="9"/>
      <c r="EM816" s="9"/>
      <c r="EN816" s="9"/>
      <c r="EO816" s="9"/>
      <c r="EP816" s="9"/>
      <c r="EQ816" s="9"/>
      <c r="ER816" s="9"/>
      <c r="ES816" s="9"/>
      <c r="ET816" s="9"/>
      <c r="EU816" s="9"/>
      <c r="EV816" s="9"/>
      <c r="EW816" s="9"/>
      <c r="EX816" s="9"/>
      <c r="EY816" s="9"/>
      <c r="EZ816" s="9"/>
      <c r="FA816" s="9"/>
      <c r="FB816" s="9"/>
      <c r="FC816" s="9"/>
      <c r="FD816" s="9"/>
      <c r="FE816" s="9"/>
      <c r="FF816" s="9"/>
      <c r="FG816" s="9"/>
      <c r="FH816" s="9"/>
      <c r="FI816" s="9"/>
      <c r="FJ816" s="9"/>
      <c r="FK816" s="9"/>
      <c r="FL816" s="9"/>
      <c r="FM816" s="9"/>
      <c r="FN816" s="9"/>
      <c r="FO816" s="9"/>
      <c r="FP816" s="9"/>
      <c r="FQ816" s="9"/>
      <c r="FR816" s="9"/>
      <c r="FS816" s="9"/>
      <c r="FT816" s="9"/>
      <c r="FU816" s="9"/>
      <c r="FV816" s="9"/>
      <c r="FW816" s="9"/>
      <c r="FX816" s="9"/>
      <c r="FY816" s="9"/>
      <c r="FZ816" s="9"/>
      <c r="GA816" s="9"/>
      <c r="GB816" s="9"/>
      <c r="GC816" s="9"/>
      <c r="GD816" s="9"/>
      <c r="GE816" s="9"/>
      <c r="GF816" s="9"/>
      <c r="GG816" s="9"/>
      <c r="GH816" s="9"/>
      <c r="GI816" s="9"/>
      <c r="GJ816" s="9"/>
      <c r="GK816" s="9"/>
      <c r="GL816" s="9"/>
      <c r="GM816" s="9"/>
      <c r="GN816" s="9"/>
      <c r="GO816" s="9"/>
      <c r="GP816" s="9"/>
      <c r="GQ816" s="9"/>
    </row>
    <row r="817" spans="2:199" ht="15"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  <c r="EC817" s="9"/>
      <c r="ED817" s="9"/>
      <c r="EE817" s="9"/>
      <c r="EF817" s="9"/>
      <c r="EG817" s="9"/>
      <c r="EH817" s="9"/>
      <c r="EI817" s="9"/>
      <c r="EJ817" s="9"/>
      <c r="EK817" s="9"/>
      <c r="EL817" s="9"/>
      <c r="EM817" s="9"/>
      <c r="EN817" s="9"/>
      <c r="EO817" s="9"/>
      <c r="EP817" s="9"/>
      <c r="EQ817" s="9"/>
      <c r="ER817" s="9"/>
      <c r="ES817" s="9"/>
      <c r="ET817" s="9"/>
      <c r="EU817" s="9"/>
      <c r="EV817" s="9"/>
      <c r="EW817" s="9"/>
      <c r="EX817" s="9"/>
      <c r="EY817" s="9"/>
      <c r="EZ817" s="9"/>
      <c r="FA817" s="9"/>
      <c r="FB817" s="9"/>
      <c r="FC817" s="9"/>
      <c r="FD817" s="9"/>
      <c r="FE817" s="9"/>
      <c r="FF817" s="9"/>
      <c r="FG817" s="9"/>
      <c r="FH817" s="9"/>
      <c r="FI817" s="9"/>
      <c r="FJ817" s="9"/>
      <c r="FK817" s="9"/>
      <c r="FL817" s="9"/>
      <c r="FM817" s="9"/>
      <c r="FN817" s="9"/>
      <c r="FO817" s="9"/>
      <c r="FP817" s="9"/>
      <c r="FQ817" s="9"/>
      <c r="FR817" s="9"/>
      <c r="FS817" s="9"/>
      <c r="FT817" s="9"/>
      <c r="FU817" s="9"/>
      <c r="FV817" s="9"/>
      <c r="FW817" s="9"/>
      <c r="FX817" s="9"/>
      <c r="FY817" s="9"/>
      <c r="FZ817" s="9"/>
      <c r="GA817" s="9"/>
      <c r="GB817" s="9"/>
      <c r="GC817" s="9"/>
      <c r="GD817" s="9"/>
      <c r="GE817" s="9"/>
      <c r="GF817" s="9"/>
      <c r="GG817" s="9"/>
      <c r="GH817" s="9"/>
      <c r="GI817" s="9"/>
      <c r="GJ817" s="9"/>
      <c r="GK817" s="9"/>
      <c r="GL817" s="9"/>
      <c r="GM817" s="9"/>
      <c r="GN817" s="9"/>
      <c r="GO817" s="9"/>
      <c r="GP817" s="9"/>
      <c r="GQ817" s="9"/>
    </row>
    <row r="818" spans="2:199" ht="15"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  <c r="EF818" s="9"/>
      <c r="EG818" s="9"/>
      <c r="EH818" s="9"/>
      <c r="EI818" s="9"/>
      <c r="EJ818" s="9"/>
      <c r="EK818" s="9"/>
      <c r="EL818" s="9"/>
      <c r="EM818" s="9"/>
      <c r="EN818" s="9"/>
      <c r="EO818" s="9"/>
      <c r="EP818" s="9"/>
      <c r="EQ818" s="9"/>
      <c r="ER818" s="9"/>
      <c r="ES818" s="9"/>
      <c r="ET818" s="9"/>
      <c r="EU818" s="9"/>
      <c r="EV818" s="9"/>
      <c r="EW818" s="9"/>
      <c r="EX818" s="9"/>
      <c r="EY818" s="9"/>
      <c r="EZ818" s="9"/>
      <c r="FA818" s="9"/>
      <c r="FB818" s="9"/>
      <c r="FC818" s="9"/>
      <c r="FD818" s="9"/>
      <c r="FE818" s="9"/>
      <c r="FF818" s="9"/>
      <c r="FG818" s="9"/>
      <c r="FH818" s="9"/>
      <c r="FI818" s="9"/>
      <c r="FJ818" s="9"/>
      <c r="FK818" s="9"/>
      <c r="FL818" s="9"/>
      <c r="FM818" s="9"/>
      <c r="FN818" s="9"/>
      <c r="FO818" s="9"/>
      <c r="FP818" s="9"/>
      <c r="FQ818" s="9"/>
      <c r="FR818" s="9"/>
      <c r="FS818" s="9"/>
      <c r="FT818" s="9"/>
      <c r="FU818" s="9"/>
      <c r="FV818" s="9"/>
      <c r="FW818" s="9"/>
      <c r="FX818" s="9"/>
      <c r="FY818" s="9"/>
      <c r="FZ818" s="9"/>
      <c r="GA818" s="9"/>
      <c r="GB818" s="9"/>
      <c r="GC818" s="9"/>
      <c r="GD818" s="9"/>
      <c r="GE818" s="9"/>
      <c r="GF818" s="9"/>
      <c r="GG818" s="9"/>
      <c r="GH818" s="9"/>
      <c r="GI818" s="9"/>
      <c r="GJ818" s="9"/>
      <c r="GK818" s="9"/>
      <c r="GL818" s="9"/>
      <c r="GM818" s="9"/>
      <c r="GN818" s="9"/>
      <c r="GO818" s="9"/>
      <c r="GP818" s="9"/>
      <c r="GQ818" s="9"/>
    </row>
    <row r="819" spans="2:199" ht="15"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  <c r="EB819" s="9"/>
      <c r="EC819" s="9"/>
      <c r="ED819" s="9"/>
      <c r="EE819" s="9"/>
      <c r="EF819" s="9"/>
      <c r="EG819" s="9"/>
      <c r="EH819" s="9"/>
      <c r="EI819" s="9"/>
      <c r="EJ819" s="9"/>
      <c r="EK819" s="9"/>
      <c r="EL819" s="9"/>
      <c r="EM819" s="9"/>
      <c r="EN819" s="9"/>
      <c r="EO819" s="9"/>
      <c r="EP819" s="9"/>
      <c r="EQ819" s="9"/>
      <c r="ER819" s="9"/>
      <c r="ES819" s="9"/>
      <c r="ET819" s="9"/>
      <c r="EU819" s="9"/>
      <c r="EV819" s="9"/>
      <c r="EW819" s="9"/>
      <c r="EX819" s="9"/>
      <c r="EY819" s="9"/>
      <c r="EZ819" s="9"/>
      <c r="FA819" s="9"/>
      <c r="FB819" s="9"/>
      <c r="FC819" s="9"/>
      <c r="FD819" s="9"/>
      <c r="FE819" s="9"/>
      <c r="FF819" s="9"/>
      <c r="FG819" s="9"/>
      <c r="FH819" s="9"/>
      <c r="FI819" s="9"/>
      <c r="FJ819" s="9"/>
      <c r="FK819" s="9"/>
      <c r="FL819" s="9"/>
      <c r="FM819" s="9"/>
      <c r="FN819" s="9"/>
      <c r="FO819" s="9"/>
      <c r="FP819" s="9"/>
      <c r="FQ819" s="9"/>
      <c r="FR819" s="9"/>
      <c r="FS819" s="9"/>
      <c r="FT819" s="9"/>
      <c r="FU819" s="9"/>
      <c r="FV819" s="9"/>
      <c r="FW819" s="9"/>
      <c r="FX819" s="9"/>
      <c r="FY819" s="9"/>
      <c r="FZ819" s="9"/>
      <c r="GA819" s="9"/>
      <c r="GB819" s="9"/>
      <c r="GC819" s="9"/>
      <c r="GD819" s="9"/>
      <c r="GE819" s="9"/>
      <c r="GF819" s="9"/>
      <c r="GG819" s="9"/>
      <c r="GH819" s="9"/>
      <c r="GI819" s="9"/>
      <c r="GJ819" s="9"/>
      <c r="GK819" s="9"/>
      <c r="GL819" s="9"/>
      <c r="GM819" s="9"/>
      <c r="GN819" s="9"/>
      <c r="GO819" s="9"/>
      <c r="GP819" s="9"/>
      <c r="GQ819" s="9"/>
    </row>
    <row r="820" spans="2:199" ht="15"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  <c r="EC820" s="9"/>
      <c r="ED820" s="9"/>
      <c r="EE820" s="9"/>
      <c r="EF820" s="9"/>
      <c r="EG820" s="9"/>
      <c r="EH820" s="9"/>
      <c r="EI820" s="9"/>
      <c r="EJ820" s="9"/>
      <c r="EK820" s="9"/>
      <c r="EL820" s="9"/>
      <c r="EM820" s="9"/>
      <c r="EN820" s="9"/>
      <c r="EO820" s="9"/>
      <c r="EP820" s="9"/>
      <c r="EQ820" s="9"/>
      <c r="ER820" s="9"/>
      <c r="ES820" s="9"/>
      <c r="ET820" s="9"/>
      <c r="EU820" s="9"/>
      <c r="EV820" s="9"/>
      <c r="EW820" s="9"/>
      <c r="EX820" s="9"/>
      <c r="EY820" s="9"/>
      <c r="EZ820" s="9"/>
      <c r="FA820" s="9"/>
      <c r="FB820" s="9"/>
      <c r="FC820" s="9"/>
      <c r="FD820" s="9"/>
      <c r="FE820" s="9"/>
      <c r="FF820" s="9"/>
      <c r="FG820" s="9"/>
      <c r="FH820" s="9"/>
      <c r="FI820" s="9"/>
      <c r="FJ820" s="9"/>
      <c r="FK820" s="9"/>
      <c r="FL820" s="9"/>
      <c r="FM820" s="9"/>
      <c r="FN820" s="9"/>
      <c r="FO820" s="9"/>
      <c r="FP820" s="9"/>
      <c r="FQ820" s="9"/>
      <c r="FR820" s="9"/>
      <c r="FS820" s="9"/>
      <c r="FT820" s="9"/>
      <c r="FU820" s="9"/>
      <c r="FV820" s="9"/>
      <c r="FW820" s="9"/>
      <c r="FX820" s="9"/>
      <c r="FY820" s="9"/>
      <c r="FZ820" s="9"/>
      <c r="GA820" s="9"/>
      <c r="GB820" s="9"/>
      <c r="GC820" s="9"/>
      <c r="GD820" s="9"/>
      <c r="GE820" s="9"/>
      <c r="GF820" s="9"/>
      <c r="GG820" s="9"/>
      <c r="GH820" s="9"/>
      <c r="GI820" s="9"/>
      <c r="GJ820" s="9"/>
      <c r="GK820" s="9"/>
      <c r="GL820" s="9"/>
      <c r="GM820" s="9"/>
      <c r="GN820" s="9"/>
      <c r="GO820" s="9"/>
      <c r="GP820" s="9"/>
      <c r="GQ820" s="9"/>
    </row>
    <row r="821" spans="2:199" ht="15"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/>
      <c r="EG821" s="9"/>
      <c r="EH821" s="9"/>
      <c r="EI821" s="9"/>
      <c r="EJ821" s="9"/>
      <c r="EK821" s="9"/>
      <c r="EL821" s="9"/>
      <c r="EM821" s="9"/>
      <c r="EN821" s="9"/>
      <c r="EO821" s="9"/>
      <c r="EP821" s="9"/>
      <c r="EQ821" s="9"/>
      <c r="ER821" s="9"/>
      <c r="ES821" s="9"/>
      <c r="ET821" s="9"/>
      <c r="EU821" s="9"/>
      <c r="EV821" s="9"/>
      <c r="EW821" s="9"/>
      <c r="EX821" s="9"/>
      <c r="EY821" s="9"/>
      <c r="EZ821" s="9"/>
      <c r="FA821" s="9"/>
      <c r="FB821" s="9"/>
      <c r="FC821" s="9"/>
      <c r="FD821" s="9"/>
      <c r="FE821" s="9"/>
      <c r="FF821" s="9"/>
      <c r="FG821" s="9"/>
      <c r="FH821" s="9"/>
      <c r="FI821" s="9"/>
      <c r="FJ821" s="9"/>
      <c r="FK821" s="9"/>
      <c r="FL821" s="9"/>
      <c r="FM821" s="9"/>
      <c r="FN821" s="9"/>
      <c r="FO821" s="9"/>
      <c r="FP821" s="9"/>
      <c r="FQ821" s="9"/>
      <c r="FR821" s="9"/>
      <c r="FS821" s="9"/>
      <c r="FT821" s="9"/>
      <c r="FU821" s="9"/>
      <c r="FV821" s="9"/>
      <c r="FW821" s="9"/>
      <c r="FX821" s="9"/>
      <c r="FY821" s="9"/>
      <c r="FZ821" s="9"/>
      <c r="GA821" s="9"/>
      <c r="GB821" s="9"/>
      <c r="GC821" s="9"/>
      <c r="GD821" s="9"/>
      <c r="GE821" s="9"/>
      <c r="GF821" s="9"/>
      <c r="GG821" s="9"/>
      <c r="GH821" s="9"/>
      <c r="GI821" s="9"/>
      <c r="GJ821" s="9"/>
      <c r="GK821" s="9"/>
      <c r="GL821" s="9"/>
      <c r="GM821" s="9"/>
      <c r="GN821" s="9"/>
      <c r="GO821" s="9"/>
      <c r="GP821" s="9"/>
      <c r="GQ821" s="9"/>
    </row>
    <row r="822" spans="2:199" ht="15"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  <c r="EC822" s="9"/>
      <c r="ED822" s="9"/>
      <c r="EE822" s="9"/>
      <c r="EF822" s="9"/>
      <c r="EG822" s="9"/>
      <c r="EH822" s="9"/>
      <c r="EI822" s="9"/>
      <c r="EJ822" s="9"/>
      <c r="EK822" s="9"/>
      <c r="EL822" s="9"/>
      <c r="EM822" s="9"/>
      <c r="EN822" s="9"/>
      <c r="EO822" s="9"/>
      <c r="EP822" s="9"/>
      <c r="EQ822" s="9"/>
      <c r="ER822" s="9"/>
      <c r="ES822" s="9"/>
      <c r="ET822" s="9"/>
      <c r="EU822" s="9"/>
      <c r="EV822" s="9"/>
      <c r="EW822" s="9"/>
      <c r="EX822" s="9"/>
      <c r="EY822" s="9"/>
      <c r="EZ822" s="9"/>
      <c r="FA822" s="9"/>
      <c r="FB822" s="9"/>
      <c r="FC822" s="9"/>
      <c r="FD822" s="9"/>
      <c r="FE822" s="9"/>
      <c r="FF822" s="9"/>
      <c r="FG822" s="9"/>
      <c r="FH822" s="9"/>
      <c r="FI822" s="9"/>
      <c r="FJ822" s="9"/>
      <c r="FK822" s="9"/>
      <c r="FL822" s="9"/>
      <c r="FM822" s="9"/>
      <c r="FN822" s="9"/>
      <c r="FO822" s="9"/>
      <c r="FP822" s="9"/>
      <c r="FQ822" s="9"/>
      <c r="FR822" s="9"/>
      <c r="FS822" s="9"/>
      <c r="FT822" s="9"/>
      <c r="FU822" s="9"/>
      <c r="FV822" s="9"/>
      <c r="FW822" s="9"/>
      <c r="FX822" s="9"/>
      <c r="FY822" s="9"/>
      <c r="FZ822" s="9"/>
      <c r="GA822" s="9"/>
      <c r="GB822" s="9"/>
      <c r="GC822" s="9"/>
      <c r="GD822" s="9"/>
      <c r="GE822" s="9"/>
      <c r="GF822" s="9"/>
      <c r="GG822" s="9"/>
      <c r="GH822" s="9"/>
      <c r="GI822" s="9"/>
      <c r="GJ822" s="9"/>
      <c r="GK822" s="9"/>
      <c r="GL822" s="9"/>
      <c r="GM822" s="9"/>
      <c r="GN822" s="9"/>
      <c r="GO822" s="9"/>
      <c r="GP822" s="9"/>
      <c r="GQ822" s="9"/>
    </row>
    <row r="823" spans="2:199" ht="15"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  <c r="EB823" s="9"/>
      <c r="EC823" s="9"/>
      <c r="ED823" s="9"/>
      <c r="EE823" s="9"/>
      <c r="EF823" s="9"/>
      <c r="EG823" s="9"/>
      <c r="EH823" s="9"/>
      <c r="EI823" s="9"/>
      <c r="EJ823" s="9"/>
      <c r="EK823" s="9"/>
      <c r="EL823" s="9"/>
      <c r="EM823" s="9"/>
      <c r="EN823" s="9"/>
      <c r="EO823" s="9"/>
      <c r="EP823" s="9"/>
      <c r="EQ823" s="9"/>
      <c r="ER823" s="9"/>
      <c r="ES823" s="9"/>
      <c r="ET823" s="9"/>
      <c r="EU823" s="9"/>
      <c r="EV823" s="9"/>
      <c r="EW823" s="9"/>
      <c r="EX823" s="9"/>
      <c r="EY823" s="9"/>
      <c r="EZ823" s="9"/>
      <c r="FA823" s="9"/>
      <c r="FB823" s="9"/>
      <c r="FC823" s="9"/>
      <c r="FD823" s="9"/>
      <c r="FE823" s="9"/>
      <c r="FF823" s="9"/>
      <c r="FG823" s="9"/>
      <c r="FH823" s="9"/>
      <c r="FI823" s="9"/>
      <c r="FJ823" s="9"/>
      <c r="FK823" s="9"/>
      <c r="FL823" s="9"/>
      <c r="FM823" s="9"/>
      <c r="FN823" s="9"/>
      <c r="FO823" s="9"/>
      <c r="FP823" s="9"/>
      <c r="FQ823" s="9"/>
      <c r="FR823" s="9"/>
      <c r="FS823" s="9"/>
      <c r="FT823" s="9"/>
      <c r="FU823" s="9"/>
      <c r="FV823" s="9"/>
      <c r="FW823" s="9"/>
      <c r="FX823" s="9"/>
      <c r="FY823" s="9"/>
      <c r="FZ823" s="9"/>
      <c r="GA823" s="9"/>
      <c r="GB823" s="9"/>
      <c r="GC823" s="9"/>
      <c r="GD823" s="9"/>
      <c r="GE823" s="9"/>
      <c r="GF823" s="9"/>
      <c r="GG823" s="9"/>
      <c r="GH823" s="9"/>
      <c r="GI823" s="9"/>
      <c r="GJ823" s="9"/>
      <c r="GK823" s="9"/>
      <c r="GL823" s="9"/>
      <c r="GM823" s="9"/>
      <c r="GN823" s="9"/>
      <c r="GO823" s="9"/>
      <c r="GP823" s="9"/>
      <c r="GQ823" s="9"/>
    </row>
    <row r="824" spans="2:199" ht="15"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  <c r="EC824" s="9"/>
      <c r="ED824" s="9"/>
      <c r="EE824" s="9"/>
      <c r="EF824" s="9"/>
      <c r="EG824" s="9"/>
      <c r="EH824" s="9"/>
      <c r="EI824" s="9"/>
      <c r="EJ824" s="9"/>
      <c r="EK824" s="9"/>
      <c r="EL824" s="9"/>
      <c r="EM824" s="9"/>
      <c r="EN824" s="9"/>
      <c r="EO824" s="9"/>
      <c r="EP824" s="9"/>
      <c r="EQ824" s="9"/>
      <c r="ER824" s="9"/>
      <c r="ES824" s="9"/>
      <c r="ET824" s="9"/>
      <c r="EU824" s="9"/>
      <c r="EV824" s="9"/>
      <c r="EW824" s="9"/>
      <c r="EX824" s="9"/>
      <c r="EY824" s="9"/>
      <c r="EZ824" s="9"/>
      <c r="FA824" s="9"/>
      <c r="FB824" s="9"/>
      <c r="FC824" s="9"/>
      <c r="FD824" s="9"/>
      <c r="FE824" s="9"/>
      <c r="FF824" s="9"/>
      <c r="FG824" s="9"/>
      <c r="FH824" s="9"/>
      <c r="FI824" s="9"/>
      <c r="FJ824" s="9"/>
      <c r="FK824" s="9"/>
      <c r="FL824" s="9"/>
      <c r="FM824" s="9"/>
      <c r="FN824" s="9"/>
      <c r="FO824" s="9"/>
      <c r="FP824" s="9"/>
      <c r="FQ824" s="9"/>
      <c r="FR824" s="9"/>
      <c r="FS824" s="9"/>
      <c r="FT824" s="9"/>
      <c r="FU824" s="9"/>
      <c r="FV824" s="9"/>
      <c r="FW824" s="9"/>
      <c r="FX824" s="9"/>
      <c r="FY824" s="9"/>
      <c r="FZ824" s="9"/>
      <c r="GA824" s="9"/>
      <c r="GB824" s="9"/>
      <c r="GC824" s="9"/>
      <c r="GD824" s="9"/>
      <c r="GE824" s="9"/>
      <c r="GF824" s="9"/>
      <c r="GG824" s="9"/>
      <c r="GH824" s="9"/>
      <c r="GI824" s="9"/>
      <c r="GJ824" s="9"/>
      <c r="GK824" s="9"/>
      <c r="GL824" s="9"/>
      <c r="GM824" s="9"/>
      <c r="GN824" s="9"/>
      <c r="GO824" s="9"/>
      <c r="GP824" s="9"/>
      <c r="GQ824" s="9"/>
    </row>
    <row r="825" spans="2:199" ht="15"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  <c r="DM825" s="9"/>
      <c r="DN825" s="9"/>
      <c r="DO825" s="9"/>
      <c r="DP825" s="9"/>
      <c r="DQ825" s="9"/>
      <c r="DR825" s="9"/>
      <c r="DS825" s="9"/>
      <c r="DT825" s="9"/>
      <c r="DU825" s="9"/>
      <c r="DV825" s="9"/>
      <c r="DW825" s="9"/>
      <c r="DX825" s="9"/>
      <c r="DY825" s="9"/>
      <c r="DZ825" s="9"/>
      <c r="EA825" s="9"/>
      <c r="EB825" s="9"/>
      <c r="EC825" s="9"/>
      <c r="ED825" s="9"/>
      <c r="EE825" s="9"/>
      <c r="EF825" s="9"/>
      <c r="EG825" s="9"/>
      <c r="EH825" s="9"/>
      <c r="EI825" s="9"/>
      <c r="EJ825" s="9"/>
      <c r="EK825" s="9"/>
      <c r="EL825" s="9"/>
      <c r="EM825" s="9"/>
      <c r="EN825" s="9"/>
      <c r="EO825" s="9"/>
      <c r="EP825" s="9"/>
      <c r="EQ825" s="9"/>
      <c r="ER825" s="9"/>
      <c r="ES825" s="9"/>
      <c r="ET825" s="9"/>
      <c r="EU825" s="9"/>
      <c r="EV825" s="9"/>
      <c r="EW825" s="9"/>
      <c r="EX825" s="9"/>
      <c r="EY825" s="9"/>
      <c r="EZ825" s="9"/>
      <c r="FA825" s="9"/>
      <c r="FB825" s="9"/>
      <c r="FC825" s="9"/>
      <c r="FD825" s="9"/>
      <c r="FE825" s="9"/>
      <c r="FF825" s="9"/>
      <c r="FG825" s="9"/>
      <c r="FH825" s="9"/>
      <c r="FI825" s="9"/>
      <c r="FJ825" s="9"/>
      <c r="FK825" s="9"/>
      <c r="FL825" s="9"/>
      <c r="FM825" s="9"/>
      <c r="FN825" s="9"/>
      <c r="FO825" s="9"/>
      <c r="FP825" s="9"/>
      <c r="FQ825" s="9"/>
      <c r="FR825" s="9"/>
      <c r="FS825" s="9"/>
      <c r="FT825" s="9"/>
      <c r="FU825" s="9"/>
      <c r="FV825" s="9"/>
      <c r="FW825" s="9"/>
      <c r="FX825" s="9"/>
      <c r="FY825" s="9"/>
      <c r="FZ825" s="9"/>
      <c r="GA825" s="9"/>
      <c r="GB825" s="9"/>
      <c r="GC825" s="9"/>
      <c r="GD825" s="9"/>
      <c r="GE825" s="9"/>
      <c r="GF825" s="9"/>
      <c r="GG825" s="9"/>
      <c r="GH825" s="9"/>
      <c r="GI825" s="9"/>
      <c r="GJ825" s="9"/>
      <c r="GK825" s="9"/>
      <c r="GL825" s="9"/>
      <c r="GM825" s="9"/>
      <c r="GN825" s="9"/>
      <c r="GO825" s="9"/>
      <c r="GP825" s="9"/>
      <c r="GQ825" s="9"/>
    </row>
    <row r="826" spans="2:199" ht="15"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  <c r="DM826" s="9"/>
      <c r="DN826" s="9"/>
      <c r="DO826" s="9"/>
      <c r="DP826" s="9"/>
      <c r="DQ826" s="9"/>
      <c r="DR826" s="9"/>
      <c r="DS826" s="9"/>
      <c r="DT826" s="9"/>
      <c r="DU826" s="9"/>
      <c r="DV826" s="9"/>
      <c r="DW826" s="9"/>
      <c r="DX826" s="9"/>
      <c r="DY826" s="9"/>
      <c r="DZ826" s="9"/>
      <c r="EA826" s="9"/>
      <c r="EB826" s="9"/>
      <c r="EC826" s="9"/>
      <c r="ED826" s="9"/>
      <c r="EE826" s="9"/>
      <c r="EF826" s="9"/>
      <c r="EG826" s="9"/>
      <c r="EH826" s="9"/>
      <c r="EI826" s="9"/>
      <c r="EJ826" s="9"/>
      <c r="EK826" s="9"/>
      <c r="EL826" s="9"/>
      <c r="EM826" s="9"/>
      <c r="EN826" s="9"/>
      <c r="EO826" s="9"/>
      <c r="EP826" s="9"/>
      <c r="EQ826" s="9"/>
      <c r="ER826" s="9"/>
      <c r="ES826" s="9"/>
      <c r="ET826" s="9"/>
      <c r="EU826" s="9"/>
      <c r="EV826" s="9"/>
      <c r="EW826" s="9"/>
      <c r="EX826" s="9"/>
      <c r="EY826" s="9"/>
      <c r="EZ826" s="9"/>
      <c r="FA826" s="9"/>
      <c r="FB826" s="9"/>
      <c r="FC826" s="9"/>
      <c r="FD826" s="9"/>
      <c r="FE826" s="9"/>
      <c r="FF826" s="9"/>
      <c r="FG826" s="9"/>
      <c r="FH826" s="9"/>
      <c r="FI826" s="9"/>
      <c r="FJ826" s="9"/>
      <c r="FK826" s="9"/>
      <c r="FL826" s="9"/>
      <c r="FM826" s="9"/>
      <c r="FN826" s="9"/>
      <c r="FO826" s="9"/>
      <c r="FP826" s="9"/>
      <c r="FQ826" s="9"/>
      <c r="FR826" s="9"/>
      <c r="FS826" s="9"/>
      <c r="FT826" s="9"/>
      <c r="FU826" s="9"/>
      <c r="FV826" s="9"/>
      <c r="FW826" s="9"/>
      <c r="FX826" s="9"/>
      <c r="FY826" s="9"/>
      <c r="FZ826" s="9"/>
      <c r="GA826" s="9"/>
      <c r="GB826" s="9"/>
      <c r="GC826" s="9"/>
      <c r="GD826" s="9"/>
      <c r="GE826" s="9"/>
      <c r="GF826" s="9"/>
      <c r="GG826" s="9"/>
      <c r="GH826" s="9"/>
      <c r="GI826" s="9"/>
      <c r="GJ826" s="9"/>
      <c r="GK826" s="9"/>
      <c r="GL826" s="9"/>
      <c r="GM826" s="9"/>
      <c r="GN826" s="9"/>
      <c r="GO826" s="9"/>
      <c r="GP826" s="9"/>
      <c r="GQ826" s="9"/>
    </row>
  </sheetData>
  <mergeCells count="16">
    <mergeCell ref="A3:A6"/>
    <mergeCell ref="H5:H6"/>
    <mergeCell ref="I5:I6"/>
    <mergeCell ref="B3:B6"/>
    <mergeCell ref="C3:C6"/>
    <mergeCell ref="E5:E6"/>
    <mergeCell ref="C1:L2"/>
    <mergeCell ref="D3:D6"/>
    <mergeCell ref="F5:F6"/>
    <mergeCell ref="G5:G6"/>
    <mergeCell ref="H3:I4"/>
    <mergeCell ref="E3:G4"/>
    <mergeCell ref="J3:O3"/>
    <mergeCell ref="J4:K5"/>
    <mergeCell ref="L4:M5"/>
    <mergeCell ref="N4:O5"/>
  </mergeCells>
  <printOptions/>
  <pageMargins left="1.04" right="0.2755905511811024" top="0.48" bottom="0.1968503937007874" header="0.15748031496062992" footer="0.22"/>
  <pageSetup horizontalDpi="600" verticalDpi="600" orientation="landscape" paperSize="9" scale="80" r:id="rId1"/>
  <rowBreaks count="1" manualBreakCount="1">
    <brk id="40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28">
      <selection activeCell="A1" sqref="A1:K60"/>
    </sheetView>
  </sheetViews>
  <sheetFormatPr defaultColWidth="9.00390625" defaultRowHeight="12.75"/>
  <sheetData>
    <row r="1" spans="1:11" ht="15.75">
      <c r="A1" s="154" t="s">
        <v>272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ht="13.5" thickBot="1">
      <c r="K2" s="155" t="s">
        <v>293</v>
      </c>
    </row>
    <row r="3" spans="1:11" ht="12.75">
      <c r="A3" s="156" t="s">
        <v>235</v>
      </c>
      <c r="B3" s="157" t="s">
        <v>236</v>
      </c>
      <c r="C3" s="157" t="s">
        <v>237</v>
      </c>
      <c r="D3" s="157" t="s">
        <v>238</v>
      </c>
      <c r="E3" s="157" t="s">
        <v>239</v>
      </c>
      <c r="F3" s="157" t="s">
        <v>240</v>
      </c>
      <c r="G3" s="158" t="s">
        <v>294</v>
      </c>
      <c r="H3" s="159"/>
      <c r="I3" s="157" t="s">
        <v>242</v>
      </c>
      <c r="J3" s="157" t="s">
        <v>243</v>
      </c>
      <c r="K3" s="160" t="s">
        <v>244</v>
      </c>
    </row>
    <row r="4" spans="1:11" ht="26.25" thickBot="1">
      <c r="A4" s="161"/>
      <c r="B4" s="162"/>
      <c r="C4" s="162"/>
      <c r="D4" s="162"/>
      <c r="E4" s="162"/>
      <c r="F4" s="162"/>
      <c r="G4" s="163" t="s">
        <v>245</v>
      </c>
      <c r="H4" s="163" t="s">
        <v>246</v>
      </c>
      <c r="I4" s="162"/>
      <c r="J4" s="162"/>
      <c r="K4" s="164"/>
    </row>
    <row r="5" spans="1:11" ht="12.75">
      <c r="A5" s="165" t="s">
        <v>0</v>
      </c>
      <c r="B5" s="166">
        <v>701</v>
      </c>
      <c r="C5" s="166">
        <v>28</v>
      </c>
      <c r="D5" s="166">
        <v>104.7</v>
      </c>
      <c r="E5" s="166">
        <v>66.7</v>
      </c>
      <c r="F5" s="166">
        <v>45</v>
      </c>
      <c r="G5" s="166">
        <v>1660221</v>
      </c>
      <c r="H5" s="167">
        <f aca="true" t="shared" si="0" ref="H5:H38">G5*0.71</f>
        <v>1178756.91</v>
      </c>
      <c r="I5" s="167">
        <f aca="true" t="shared" si="1" ref="I5:J36">(G5/D5)/6</f>
        <v>2642.8223495702005</v>
      </c>
      <c r="J5" s="167">
        <f t="shared" si="1"/>
        <v>2945.419565217391</v>
      </c>
      <c r="K5" s="168">
        <f aca="true" t="shared" si="2" ref="K5:K36">B5/F5</f>
        <v>15.577777777777778</v>
      </c>
    </row>
    <row r="6" spans="1:11" ht="12.75">
      <c r="A6" s="169" t="s">
        <v>1</v>
      </c>
      <c r="B6" s="170">
        <v>262</v>
      </c>
      <c r="C6" s="170">
        <v>11</v>
      </c>
      <c r="D6" s="170">
        <v>49.11</v>
      </c>
      <c r="E6" s="170">
        <v>26.86</v>
      </c>
      <c r="F6" s="170">
        <v>19</v>
      </c>
      <c r="G6" s="170">
        <v>695086</v>
      </c>
      <c r="H6" s="167">
        <f t="shared" si="0"/>
        <v>493511.06</v>
      </c>
      <c r="I6" s="167">
        <f t="shared" si="1"/>
        <v>2358.9425100115386</v>
      </c>
      <c r="J6" s="167">
        <f t="shared" si="1"/>
        <v>3062.2428642343016</v>
      </c>
      <c r="K6" s="168">
        <f t="shared" si="2"/>
        <v>13.789473684210526</v>
      </c>
    </row>
    <row r="7" spans="1:11" ht="12.75">
      <c r="A7" s="169" t="s">
        <v>2</v>
      </c>
      <c r="B7" s="170">
        <v>314</v>
      </c>
      <c r="C7" s="170">
        <v>14</v>
      </c>
      <c r="D7" s="170">
        <v>60.39</v>
      </c>
      <c r="E7" s="170">
        <v>32.14</v>
      </c>
      <c r="F7" s="170">
        <v>23</v>
      </c>
      <c r="G7" s="170">
        <v>922884</v>
      </c>
      <c r="H7" s="167">
        <f t="shared" si="0"/>
        <v>655247.64</v>
      </c>
      <c r="I7" s="167">
        <f t="shared" si="1"/>
        <v>2547.0110945520782</v>
      </c>
      <c r="J7" s="167">
        <f t="shared" si="1"/>
        <v>3397.882389545737</v>
      </c>
      <c r="K7" s="168">
        <f t="shared" si="2"/>
        <v>13.652173913043478</v>
      </c>
    </row>
    <row r="8" spans="1:11" ht="12.75">
      <c r="A8" s="169" t="s">
        <v>3</v>
      </c>
      <c r="B8" s="170">
        <v>629</v>
      </c>
      <c r="C8" s="170">
        <v>24</v>
      </c>
      <c r="D8" s="170">
        <v>84.44</v>
      </c>
      <c r="E8" s="170">
        <v>53.44</v>
      </c>
      <c r="F8" s="170">
        <v>49</v>
      </c>
      <c r="G8" s="170">
        <v>1384111</v>
      </c>
      <c r="H8" s="167">
        <f t="shared" si="0"/>
        <v>982718.8099999999</v>
      </c>
      <c r="I8" s="167">
        <f t="shared" si="1"/>
        <v>2731.9418127269855</v>
      </c>
      <c r="J8" s="167">
        <f t="shared" si="1"/>
        <v>3064.8665481536923</v>
      </c>
      <c r="K8" s="168">
        <f t="shared" si="2"/>
        <v>12.83673469387755</v>
      </c>
    </row>
    <row r="9" spans="1:11" ht="12.75">
      <c r="A9" s="169" t="s">
        <v>4</v>
      </c>
      <c r="B9" s="170">
        <v>817</v>
      </c>
      <c r="C9" s="170">
        <v>33</v>
      </c>
      <c r="D9" s="170">
        <v>118.72</v>
      </c>
      <c r="E9" s="170">
        <v>91.22</v>
      </c>
      <c r="F9" s="170">
        <v>75</v>
      </c>
      <c r="G9" s="170">
        <v>2251515</v>
      </c>
      <c r="H9" s="167">
        <f t="shared" si="0"/>
        <v>1598575.65</v>
      </c>
      <c r="I9" s="167">
        <f t="shared" si="1"/>
        <v>3160.819575471698</v>
      </c>
      <c r="J9" s="167">
        <f t="shared" si="1"/>
        <v>2920.733117737338</v>
      </c>
      <c r="K9" s="168">
        <f t="shared" si="2"/>
        <v>10.893333333333333</v>
      </c>
    </row>
    <row r="10" spans="1:11" ht="12.75">
      <c r="A10" s="169" t="s">
        <v>5</v>
      </c>
      <c r="B10" s="170">
        <v>188</v>
      </c>
      <c r="C10" s="170">
        <v>11</v>
      </c>
      <c r="D10" s="170">
        <v>40.83</v>
      </c>
      <c r="E10" s="170">
        <v>26.33</v>
      </c>
      <c r="F10" s="170">
        <v>27</v>
      </c>
      <c r="G10" s="170">
        <v>606757</v>
      </c>
      <c r="H10" s="167">
        <f t="shared" si="0"/>
        <v>430797.47</v>
      </c>
      <c r="I10" s="167">
        <f t="shared" si="1"/>
        <v>2476.761368274961</v>
      </c>
      <c r="J10" s="167">
        <f t="shared" si="1"/>
        <v>2726.911444486644</v>
      </c>
      <c r="K10" s="168">
        <f t="shared" si="2"/>
        <v>6.962962962962963</v>
      </c>
    </row>
    <row r="11" spans="1:11" ht="12.75">
      <c r="A11" s="169" t="s">
        <v>6</v>
      </c>
      <c r="B11" s="170">
        <v>977</v>
      </c>
      <c r="C11" s="170">
        <v>34</v>
      </c>
      <c r="D11" s="170">
        <v>131.58</v>
      </c>
      <c r="E11" s="170">
        <v>93.08</v>
      </c>
      <c r="F11" s="170">
        <v>88</v>
      </c>
      <c r="G11" s="170">
        <v>2283015</v>
      </c>
      <c r="H11" s="167">
        <f t="shared" si="0"/>
        <v>1620940.65</v>
      </c>
      <c r="I11" s="167">
        <f t="shared" si="1"/>
        <v>2891.7958656330743</v>
      </c>
      <c r="J11" s="167">
        <f t="shared" si="1"/>
        <v>2902.414858186506</v>
      </c>
      <c r="K11" s="168">
        <f t="shared" si="2"/>
        <v>11.102272727272727</v>
      </c>
    </row>
    <row r="12" spans="1:11" ht="12.75">
      <c r="A12" s="169" t="s">
        <v>247</v>
      </c>
      <c r="B12" s="170">
        <v>706</v>
      </c>
      <c r="C12" s="170">
        <v>25</v>
      </c>
      <c r="D12" s="170">
        <v>90.11</v>
      </c>
      <c r="E12" s="170">
        <v>66.61</v>
      </c>
      <c r="F12" s="170">
        <v>52</v>
      </c>
      <c r="G12" s="170">
        <v>1623977</v>
      </c>
      <c r="H12" s="167">
        <f t="shared" si="0"/>
        <v>1153023.67</v>
      </c>
      <c r="I12" s="167">
        <f t="shared" si="1"/>
        <v>3003.693633706951</v>
      </c>
      <c r="J12" s="167">
        <f t="shared" si="1"/>
        <v>2885.0114347195117</v>
      </c>
      <c r="K12" s="168">
        <f t="shared" si="2"/>
        <v>13.576923076923077</v>
      </c>
    </row>
    <row r="13" spans="1:11" ht="12.75">
      <c r="A13" s="169" t="s">
        <v>7</v>
      </c>
      <c r="B13" s="170">
        <v>388</v>
      </c>
      <c r="C13" s="170">
        <v>16</v>
      </c>
      <c r="D13" s="170">
        <v>60.03</v>
      </c>
      <c r="E13" s="170">
        <v>36.78</v>
      </c>
      <c r="F13" s="170">
        <v>34</v>
      </c>
      <c r="G13" s="170">
        <v>960052</v>
      </c>
      <c r="H13" s="167">
        <f t="shared" si="0"/>
        <v>681636.9199999999</v>
      </c>
      <c r="I13" s="167">
        <f t="shared" si="1"/>
        <v>2665.4783719251486</v>
      </c>
      <c r="J13" s="167">
        <f t="shared" si="1"/>
        <v>3088.8024288562624</v>
      </c>
      <c r="K13" s="168">
        <f t="shared" si="2"/>
        <v>11.411764705882353</v>
      </c>
    </row>
    <row r="14" spans="1:11" ht="12.75">
      <c r="A14" s="169" t="s">
        <v>40</v>
      </c>
      <c r="B14" s="170">
        <v>937</v>
      </c>
      <c r="C14" s="170">
        <v>36</v>
      </c>
      <c r="D14" s="170">
        <v>232.27</v>
      </c>
      <c r="E14" s="170">
        <v>158.37</v>
      </c>
      <c r="F14" s="170">
        <v>105</v>
      </c>
      <c r="G14" s="170">
        <v>4052317</v>
      </c>
      <c r="H14" s="167">
        <f t="shared" si="0"/>
        <v>2877145.07</v>
      </c>
      <c r="I14" s="167">
        <f t="shared" si="1"/>
        <v>2907.763235315222</v>
      </c>
      <c r="J14" s="167">
        <f t="shared" si="1"/>
        <v>3027.872566353055</v>
      </c>
      <c r="K14" s="168">
        <f t="shared" si="2"/>
        <v>8.923809523809524</v>
      </c>
    </row>
    <row r="15" spans="1:11" ht="12.75">
      <c r="A15" s="169" t="s">
        <v>248</v>
      </c>
      <c r="B15" s="170">
        <v>102</v>
      </c>
      <c r="C15" s="170">
        <v>9</v>
      </c>
      <c r="D15" s="170">
        <v>30.61</v>
      </c>
      <c r="E15" s="170">
        <v>18.11</v>
      </c>
      <c r="F15" s="170">
        <v>10</v>
      </c>
      <c r="G15" s="170">
        <v>447083</v>
      </c>
      <c r="H15" s="167">
        <f t="shared" si="0"/>
        <v>317428.93</v>
      </c>
      <c r="I15" s="167">
        <f t="shared" si="1"/>
        <v>2434.2970706740716</v>
      </c>
      <c r="J15" s="167">
        <f t="shared" si="1"/>
        <v>2921.3043438247746</v>
      </c>
      <c r="K15" s="168">
        <f t="shared" si="2"/>
        <v>10.2</v>
      </c>
    </row>
    <row r="16" spans="1:11" ht="12.75">
      <c r="A16" s="169" t="s">
        <v>9</v>
      </c>
      <c r="B16" s="170">
        <v>318</v>
      </c>
      <c r="C16" s="170">
        <v>14</v>
      </c>
      <c r="D16" s="170">
        <v>62</v>
      </c>
      <c r="E16" s="170">
        <v>35.5</v>
      </c>
      <c r="F16" s="170">
        <v>32</v>
      </c>
      <c r="G16" s="170">
        <v>951896</v>
      </c>
      <c r="H16" s="167">
        <f t="shared" si="0"/>
        <v>675846.1599999999</v>
      </c>
      <c r="I16" s="167">
        <f t="shared" si="1"/>
        <v>2558.8602150537636</v>
      </c>
      <c r="J16" s="167">
        <f t="shared" si="1"/>
        <v>3172.986666666666</v>
      </c>
      <c r="K16" s="168">
        <f t="shared" si="2"/>
        <v>9.9375</v>
      </c>
    </row>
    <row r="17" spans="1:11" ht="12.75">
      <c r="A17" s="169" t="s">
        <v>10</v>
      </c>
      <c r="B17" s="170">
        <v>582</v>
      </c>
      <c r="C17" s="170">
        <v>25</v>
      </c>
      <c r="D17" s="170">
        <v>88.08</v>
      </c>
      <c r="E17" s="170">
        <v>64.58</v>
      </c>
      <c r="F17" s="170">
        <v>61</v>
      </c>
      <c r="G17" s="170">
        <v>1562943</v>
      </c>
      <c r="H17" s="167">
        <f t="shared" si="0"/>
        <v>1109689.53</v>
      </c>
      <c r="I17" s="167">
        <f t="shared" si="1"/>
        <v>2957.430744777475</v>
      </c>
      <c r="J17" s="167">
        <f t="shared" si="1"/>
        <v>2863.862728398885</v>
      </c>
      <c r="K17" s="168">
        <f t="shared" si="2"/>
        <v>9.540983606557377</v>
      </c>
    </row>
    <row r="18" spans="1:11" ht="12.75">
      <c r="A18" s="169" t="s">
        <v>11</v>
      </c>
      <c r="B18" s="170">
        <v>245</v>
      </c>
      <c r="C18" s="170">
        <v>11</v>
      </c>
      <c r="D18" s="170">
        <v>50</v>
      </c>
      <c r="E18" s="170">
        <v>29.5</v>
      </c>
      <c r="F18" s="170">
        <v>18</v>
      </c>
      <c r="G18" s="170">
        <v>751690</v>
      </c>
      <c r="H18" s="167">
        <f t="shared" si="0"/>
        <v>533699.9</v>
      </c>
      <c r="I18" s="167">
        <f t="shared" si="1"/>
        <v>2505.633333333333</v>
      </c>
      <c r="J18" s="167">
        <f t="shared" si="1"/>
        <v>3015.2536723163844</v>
      </c>
      <c r="K18" s="168">
        <f t="shared" si="2"/>
        <v>13.61111111111111</v>
      </c>
    </row>
    <row r="19" spans="1:11" ht="12.75">
      <c r="A19" s="169" t="s">
        <v>12</v>
      </c>
      <c r="B19" s="170">
        <v>922</v>
      </c>
      <c r="C19" s="170">
        <v>32</v>
      </c>
      <c r="D19" s="170">
        <v>117.75</v>
      </c>
      <c r="E19" s="170">
        <v>80.25</v>
      </c>
      <c r="F19" s="170">
        <v>59</v>
      </c>
      <c r="G19" s="170">
        <v>1929197</v>
      </c>
      <c r="H19" s="167">
        <f t="shared" si="0"/>
        <v>1369729.8699999999</v>
      </c>
      <c r="I19" s="167">
        <f t="shared" si="1"/>
        <v>2730.6397735314936</v>
      </c>
      <c r="J19" s="167">
        <f t="shared" si="1"/>
        <v>2844.7141640706122</v>
      </c>
      <c r="K19" s="168">
        <f t="shared" si="2"/>
        <v>15.627118644067796</v>
      </c>
    </row>
    <row r="20" spans="1:11" ht="12.75">
      <c r="A20" s="169" t="s">
        <v>14</v>
      </c>
      <c r="B20" s="170">
        <v>1440</v>
      </c>
      <c r="C20" s="170">
        <v>50</v>
      </c>
      <c r="D20" s="170">
        <v>170.83</v>
      </c>
      <c r="E20" s="170">
        <v>119.08</v>
      </c>
      <c r="F20" s="170">
        <v>105</v>
      </c>
      <c r="G20" s="170">
        <v>2864803</v>
      </c>
      <c r="H20" s="167">
        <f t="shared" si="0"/>
        <v>2034010.13</v>
      </c>
      <c r="I20" s="167">
        <f t="shared" si="1"/>
        <v>2794.9842923764368</v>
      </c>
      <c r="J20" s="167">
        <f t="shared" si="1"/>
        <v>2846.8398415630945</v>
      </c>
      <c r="K20" s="168">
        <f t="shared" si="2"/>
        <v>13.714285714285714</v>
      </c>
    </row>
    <row r="21" spans="1:11" ht="12.75">
      <c r="A21" s="169" t="s">
        <v>15</v>
      </c>
      <c r="B21" s="170">
        <v>594</v>
      </c>
      <c r="C21" s="170">
        <v>23</v>
      </c>
      <c r="D21" s="170">
        <v>84.58</v>
      </c>
      <c r="E21" s="170">
        <v>54.83</v>
      </c>
      <c r="F21" s="170">
        <v>40</v>
      </c>
      <c r="G21" s="170">
        <v>1363614</v>
      </c>
      <c r="H21" s="167">
        <f t="shared" si="0"/>
        <v>968165.94</v>
      </c>
      <c r="I21" s="167">
        <f t="shared" si="1"/>
        <v>2687.030030740128</v>
      </c>
      <c r="J21" s="167">
        <f t="shared" si="1"/>
        <v>2942.9325186941455</v>
      </c>
      <c r="K21" s="168">
        <f t="shared" si="2"/>
        <v>14.85</v>
      </c>
    </row>
    <row r="22" spans="1:11" ht="12.75">
      <c r="A22" s="169" t="s">
        <v>16</v>
      </c>
      <c r="B22" s="170">
        <v>776</v>
      </c>
      <c r="C22" s="170">
        <v>30</v>
      </c>
      <c r="D22" s="170">
        <v>95.69</v>
      </c>
      <c r="E22" s="170">
        <v>63.44</v>
      </c>
      <c r="F22" s="170">
        <v>52</v>
      </c>
      <c r="G22" s="170">
        <v>1603807</v>
      </c>
      <c r="H22" s="167">
        <f t="shared" si="0"/>
        <v>1138702.97</v>
      </c>
      <c r="I22" s="167">
        <f t="shared" si="1"/>
        <v>2793.407531264152</v>
      </c>
      <c r="J22" s="167">
        <f t="shared" si="1"/>
        <v>2991.5483659100464</v>
      </c>
      <c r="K22" s="168">
        <f t="shared" si="2"/>
        <v>14.923076923076923</v>
      </c>
    </row>
    <row r="23" spans="1:11" ht="12.75">
      <c r="A23" s="169" t="s">
        <v>17</v>
      </c>
      <c r="B23" s="170">
        <v>254</v>
      </c>
      <c r="C23" s="170">
        <v>11</v>
      </c>
      <c r="D23" s="170">
        <v>57.54</v>
      </c>
      <c r="E23" s="170">
        <v>33.14</v>
      </c>
      <c r="F23" s="170">
        <v>24</v>
      </c>
      <c r="G23" s="170">
        <v>849733</v>
      </c>
      <c r="H23" s="167">
        <f t="shared" si="0"/>
        <v>603310.4299999999</v>
      </c>
      <c r="I23" s="167">
        <f t="shared" si="1"/>
        <v>2461.282006719963</v>
      </c>
      <c r="J23" s="167">
        <f t="shared" si="1"/>
        <v>3034.150221283444</v>
      </c>
      <c r="K23" s="168">
        <f t="shared" si="2"/>
        <v>10.583333333333334</v>
      </c>
    </row>
    <row r="24" spans="1:11" ht="12.75">
      <c r="A24" s="169" t="s">
        <v>18</v>
      </c>
      <c r="B24" s="170">
        <v>463</v>
      </c>
      <c r="C24" s="170">
        <v>19</v>
      </c>
      <c r="D24" s="170">
        <v>61.36</v>
      </c>
      <c r="E24" s="170">
        <v>40.61</v>
      </c>
      <c r="F24" s="170">
        <v>36</v>
      </c>
      <c r="G24" s="170">
        <v>1014154</v>
      </c>
      <c r="H24" s="167">
        <f t="shared" si="0"/>
        <v>720049.34</v>
      </c>
      <c r="I24" s="167">
        <f t="shared" si="1"/>
        <v>2754.6555845284656</v>
      </c>
      <c r="J24" s="167">
        <f t="shared" si="1"/>
        <v>2955.1397028646475</v>
      </c>
      <c r="K24" s="168">
        <f t="shared" si="2"/>
        <v>12.86111111111111</v>
      </c>
    </row>
    <row r="25" spans="1:11" ht="12.75">
      <c r="A25" s="169" t="s">
        <v>19</v>
      </c>
      <c r="B25" s="170">
        <v>273</v>
      </c>
      <c r="C25" s="170">
        <v>11</v>
      </c>
      <c r="D25" s="170">
        <v>47.28</v>
      </c>
      <c r="E25" s="170">
        <v>27.78</v>
      </c>
      <c r="F25" s="170">
        <v>25</v>
      </c>
      <c r="G25" s="170">
        <v>769179</v>
      </c>
      <c r="H25" s="167">
        <f t="shared" si="0"/>
        <v>546117.09</v>
      </c>
      <c r="I25" s="167">
        <f t="shared" si="1"/>
        <v>2711.4318950930624</v>
      </c>
      <c r="J25" s="167">
        <f t="shared" si="1"/>
        <v>3276.4404247660186</v>
      </c>
      <c r="K25" s="168">
        <f t="shared" si="2"/>
        <v>10.92</v>
      </c>
    </row>
    <row r="26" spans="1:11" ht="12.75">
      <c r="A26" s="169" t="s">
        <v>20</v>
      </c>
      <c r="B26" s="170">
        <v>426</v>
      </c>
      <c r="C26" s="170">
        <v>16</v>
      </c>
      <c r="D26" s="170">
        <v>63.61</v>
      </c>
      <c r="E26" s="170">
        <v>38.11</v>
      </c>
      <c r="F26" s="170">
        <v>33</v>
      </c>
      <c r="G26" s="170">
        <v>986744</v>
      </c>
      <c r="H26" s="167">
        <f t="shared" si="0"/>
        <v>700588.24</v>
      </c>
      <c r="I26" s="167">
        <f t="shared" si="1"/>
        <v>2585.4006183514125</v>
      </c>
      <c r="J26" s="167">
        <f t="shared" si="1"/>
        <v>3063.886294061051</v>
      </c>
      <c r="K26" s="168">
        <f t="shared" si="2"/>
        <v>12.909090909090908</v>
      </c>
    </row>
    <row r="27" spans="1:11" ht="12.75">
      <c r="A27" s="169" t="s">
        <v>22</v>
      </c>
      <c r="B27" s="170">
        <v>984</v>
      </c>
      <c r="C27" s="170">
        <v>37</v>
      </c>
      <c r="D27" s="170">
        <v>128.78</v>
      </c>
      <c r="E27" s="170">
        <v>89.13</v>
      </c>
      <c r="F27" s="170">
        <v>56</v>
      </c>
      <c r="G27" s="170">
        <v>2146082</v>
      </c>
      <c r="H27" s="167">
        <f t="shared" si="0"/>
        <v>1523718.22</v>
      </c>
      <c r="I27" s="167">
        <f t="shared" si="1"/>
        <v>2777.4525029766523</v>
      </c>
      <c r="J27" s="167">
        <f t="shared" si="1"/>
        <v>2849.2430906167024</v>
      </c>
      <c r="K27" s="168">
        <f t="shared" si="2"/>
        <v>17.571428571428573</v>
      </c>
    </row>
    <row r="28" spans="1:11" ht="12.75">
      <c r="A28" s="169" t="s">
        <v>23</v>
      </c>
      <c r="B28" s="170">
        <v>507</v>
      </c>
      <c r="C28" s="170">
        <v>20</v>
      </c>
      <c r="D28" s="170">
        <v>71.69</v>
      </c>
      <c r="E28" s="170">
        <v>43.89</v>
      </c>
      <c r="F28" s="170">
        <v>32</v>
      </c>
      <c r="G28" s="170">
        <v>1238248</v>
      </c>
      <c r="H28" s="167">
        <f t="shared" si="0"/>
        <v>879156.08</v>
      </c>
      <c r="I28" s="167">
        <f t="shared" si="1"/>
        <v>2878.7092574510625</v>
      </c>
      <c r="J28" s="167">
        <f t="shared" si="1"/>
        <v>3338.4828738512947</v>
      </c>
      <c r="K28" s="168">
        <f t="shared" si="2"/>
        <v>15.84375</v>
      </c>
    </row>
    <row r="29" spans="1:11" ht="12.75">
      <c r="A29" s="169" t="s">
        <v>24</v>
      </c>
      <c r="B29" s="170">
        <v>242</v>
      </c>
      <c r="C29" s="170">
        <v>11</v>
      </c>
      <c r="D29" s="170">
        <v>45.44</v>
      </c>
      <c r="E29" s="170">
        <v>25.44</v>
      </c>
      <c r="F29" s="170">
        <v>23</v>
      </c>
      <c r="G29" s="170">
        <v>626030</v>
      </c>
      <c r="H29" s="167">
        <f t="shared" si="0"/>
        <v>444481.3</v>
      </c>
      <c r="I29" s="167">
        <f t="shared" si="1"/>
        <v>2296.1781103286385</v>
      </c>
      <c r="J29" s="167">
        <f t="shared" si="1"/>
        <v>2911.9582023060793</v>
      </c>
      <c r="K29" s="168">
        <f t="shared" si="2"/>
        <v>10.521739130434783</v>
      </c>
    </row>
    <row r="30" spans="1:11" ht="12.75">
      <c r="A30" s="169" t="s">
        <v>25</v>
      </c>
      <c r="B30" s="170">
        <v>836</v>
      </c>
      <c r="C30" s="170">
        <v>30</v>
      </c>
      <c r="D30" s="170">
        <v>108.81</v>
      </c>
      <c r="E30" s="170">
        <v>71.81</v>
      </c>
      <c r="F30" s="170">
        <v>58</v>
      </c>
      <c r="G30" s="170">
        <v>1861687</v>
      </c>
      <c r="H30" s="167">
        <f t="shared" si="0"/>
        <v>1321797.77</v>
      </c>
      <c r="I30" s="167">
        <f t="shared" si="1"/>
        <v>2851.5868639524556</v>
      </c>
      <c r="J30" s="167">
        <f t="shared" si="1"/>
        <v>3067.812676971638</v>
      </c>
      <c r="K30" s="168">
        <f t="shared" si="2"/>
        <v>14.413793103448276</v>
      </c>
    </row>
    <row r="31" spans="1:11" ht="12.75">
      <c r="A31" s="169" t="s">
        <v>27</v>
      </c>
      <c r="B31" s="170">
        <v>300</v>
      </c>
      <c r="C31" s="170">
        <v>13</v>
      </c>
      <c r="D31" s="170">
        <v>53.47</v>
      </c>
      <c r="E31" s="170">
        <v>33.22</v>
      </c>
      <c r="F31" s="170">
        <v>20</v>
      </c>
      <c r="G31" s="170">
        <v>817162</v>
      </c>
      <c r="H31" s="167">
        <f t="shared" si="0"/>
        <v>580185.02</v>
      </c>
      <c r="I31" s="167">
        <f t="shared" si="1"/>
        <v>2547.1042952434386</v>
      </c>
      <c r="J31" s="167">
        <f t="shared" si="1"/>
        <v>2910.8218944411</v>
      </c>
      <c r="K31" s="168">
        <f t="shared" si="2"/>
        <v>15</v>
      </c>
    </row>
    <row r="32" spans="1:11" ht="12.75">
      <c r="A32" s="169" t="s">
        <v>28</v>
      </c>
      <c r="B32" s="170">
        <v>840</v>
      </c>
      <c r="C32" s="170">
        <v>31</v>
      </c>
      <c r="D32" s="170">
        <v>96.78</v>
      </c>
      <c r="E32" s="170">
        <v>70.28</v>
      </c>
      <c r="F32" s="170">
        <v>56</v>
      </c>
      <c r="G32" s="170">
        <v>1758070</v>
      </c>
      <c r="H32" s="167">
        <f t="shared" si="0"/>
        <v>1248229.7</v>
      </c>
      <c r="I32" s="167">
        <f t="shared" si="1"/>
        <v>3027.6055658882688</v>
      </c>
      <c r="J32" s="167">
        <f t="shared" si="1"/>
        <v>2960.1349364446974</v>
      </c>
      <c r="K32" s="168">
        <f t="shared" si="2"/>
        <v>15</v>
      </c>
    </row>
    <row r="33" spans="1:11" ht="12.75">
      <c r="A33" s="169" t="s">
        <v>29</v>
      </c>
      <c r="B33" s="170">
        <v>701</v>
      </c>
      <c r="C33" s="170">
        <v>28</v>
      </c>
      <c r="D33" s="170">
        <v>102.97</v>
      </c>
      <c r="E33" s="170">
        <v>69.22</v>
      </c>
      <c r="F33" s="170">
        <v>65</v>
      </c>
      <c r="G33" s="170">
        <f>1798496+4</f>
        <v>1798500</v>
      </c>
      <c r="H33" s="167">
        <f t="shared" si="0"/>
        <v>1276935</v>
      </c>
      <c r="I33" s="167">
        <f t="shared" si="1"/>
        <v>2911.0420510828394</v>
      </c>
      <c r="J33" s="167">
        <f t="shared" si="1"/>
        <v>3074.5810459404797</v>
      </c>
      <c r="K33" s="168">
        <f t="shared" si="2"/>
        <v>10.784615384615385</v>
      </c>
    </row>
    <row r="34" spans="1:11" ht="12.75">
      <c r="A34" s="169" t="s">
        <v>30</v>
      </c>
      <c r="B34" s="170">
        <v>281</v>
      </c>
      <c r="C34" s="170">
        <v>11</v>
      </c>
      <c r="D34" s="170">
        <v>41.72</v>
      </c>
      <c r="E34" s="170">
        <v>24.22</v>
      </c>
      <c r="F34" s="170">
        <v>14</v>
      </c>
      <c r="G34" s="170">
        <v>597586</v>
      </c>
      <c r="H34" s="167">
        <f t="shared" si="0"/>
        <v>424286.06</v>
      </c>
      <c r="I34" s="167">
        <f t="shared" si="1"/>
        <v>2387.2882710131034</v>
      </c>
      <c r="J34" s="167">
        <f t="shared" si="1"/>
        <v>2919.6673548031927</v>
      </c>
      <c r="K34" s="168">
        <f t="shared" si="2"/>
        <v>20.071428571428573</v>
      </c>
    </row>
    <row r="35" spans="1:11" ht="12.75">
      <c r="A35" s="169" t="s">
        <v>193</v>
      </c>
      <c r="B35" s="170">
        <v>505</v>
      </c>
      <c r="C35" s="170">
        <v>16</v>
      </c>
      <c r="D35" s="170">
        <v>56.17</v>
      </c>
      <c r="E35" s="170">
        <v>38.67</v>
      </c>
      <c r="F35" s="170">
        <v>31</v>
      </c>
      <c r="G35" s="170">
        <v>931462</v>
      </c>
      <c r="H35" s="167">
        <f t="shared" si="0"/>
        <v>661338.02</v>
      </c>
      <c r="I35" s="167">
        <f t="shared" si="1"/>
        <v>2763.8181710284257</v>
      </c>
      <c r="J35" s="167">
        <f t="shared" si="1"/>
        <v>2850.3491940349973</v>
      </c>
      <c r="K35" s="168">
        <f t="shared" si="2"/>
        <v>16.29032258064516</v>
      </c>
    </row>
    <row r="36" spans="1:11" ht="12.75">
      <c r="A36" s="169" t="s">
        <v>249</v>
      </c>
      <c r="B36" s="170">
        <v>272</v>
      </c>
      <c r="C36" s="170">
        <v>9</v>
      </c>
      <c r="D36" s="170">
        <v>31.52</v>
      </c>
      <c r="E36" s="170">
        <v>29.52</v>
      </c>
      <c r="F36" s="170">
        <v>65</v>
      </c>
      <c r="G36" s="170">
        <v>497976</v>
      </c>
      <c r="H36" s="167">
        <f t="shared" si="0"/>
        <v>353562.95999999996</v>
      </c>
      <c r="I36" s="167">
        <f t="shared" si="1"/>
        <v>2633.1218274111675</v>
      </c>
      <c r="J36" s="167">
        <f t="shared" si="1"/>
        <v>1996.1775067750675</v>
      </c>
      <c r="K36" s="168">
        <f t="shared" si="2"/>
        <v>4.184615384615385</v>
      </c>
    </row>
    <row r="37" spans="1:11" ht="12.75">
      <c r="A37" s="169" t="s">
        <v>194</v>
      </c>
      <c r="B37" s="170">
        <v>0</v>
      </c>
      <c r="C37" s="170">
        <v>0</v>
      </c>
      <c r="D37" s="170">
        <v>0</v>
      </c>
      <c r="E37" s="170">
        <v>0</v>
      </c>
      <c r="F37" s="170">
        <v>0</v>
      </c>
      <c r="G37" s="170">
        <v>0</v>
      </c>
      <c r="H37" s="167">
        <f t="shared" si="0"/>
        <v>0</v>
      </c>
      <c r="I37" s="167">
        <v>0</v>
      </c>
      <c r="J37" s="167">
        <v>0</v>
      </c>
      <c r="K37" s="168">
        <v>0</v>
      </c>
    </row>
    <row r="38" spans="1:11" ht="13.5" thickBot="1">
      <c r="A38" s="171" t="s">
        <v>192</v>
      </c>
      <c r="B38" s="172">
        <v>217</v>
      </c>
      <c r="C38" s="172">
        <v>8</v>
      </c>
      <c r="D38" s="172">
        <v>48.44</v>
      </c>
      <c r="E38" s="172">
        <v>34.69</v>
      </c>
      <c r="F38" s="172">
        <v>24</v>
      </c>
      <c r="G38" s="172">
        <v>773091</v>
      </c>
      <c r="H38" s="173">
        <f t="shared" si="0"/>
        <v>548894.61</v>
      </c>
      <c r="I38" s="167">
        <f>(G38/D38)/6</f>
        <v>2659.9607762180017</v>
      </c>
      <c r="J38" s="167">
        <f>(H38/E38)/6</f>
        <v>2637.1413952147595</v>
      </c>
      <c r="K38" s="257">
        <f>B38/F38</f>
        <v>9.041666666666666</v>
      </c>
    </row>
    <row r="39" spans="1:11" ht="13.5" thickBot="1">
      <c r="A39" s="175" t="s">
        <v>250</v>
      </c>
      <c r="B39" s="176">
        <f aca="true" t="shared" si="3" ref="B39:H39">SUM(B5:B38)</f>
        <v>17999</v>
      </c>
      <c r="C39" s="176">
        <f t="shared" si="3"/>
        <v>697</v>
      </c>
      <c r="D39" s="176">
        <f t="shared" si="3"/>
        <v>2687.2999999999993</v>
      </c>
      <c r="E39" s="176">
        <f t="shared" si="3"/>
        <v>1786.5500000000004</v>
      </c>
      <c r="F39" s="176">
        <f t="shared" si="3"/>
        <v>1456</v>
      </c>
      <c r="G39" s="176">
        <f t="shared" si="3"/>
        <v>44580672</v>
      </c>
      <c r="H39" s="177">
        <f t="shared" si="3"/>
        <v>31652277.11999999</v>
      </c>
      <c r="I39" s="177">
        <f>(G39/D39)/6</f>
        <v>2764.898597104902</v>
      </c>
      <c r="J39" s="177">
        <f>(H39/E39)/6</f>
        <v>2952.8306064761673</v>
      </c>
      <c r="K39" s="178">
        <f>B39/F39</f>
        <v>12.36195054945055</v>
      </c>
    </row>
    <row r="40" spans="1:11" ht="12.75">
      <c r="A40" s="179" t="s">
        <v>251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1"/>
    </row>
    <row r="41" spans="1:11" ht="12.75">
      <c r="A41" s="169" t="s">
        <v>252</v>
      </c>
      <c r="B41" s="170">
        <v>857</v>
      </c>
      <c r="C41" s="170">
        <v>31</v>
      </c>
      <c r="D41" s="170">
        <v>128.17</v>
      </c>
      <c r="E41" s="170">
        <v>94.42</v>
      </c>
      <c r="F41" s="170">
        <v>75</v>
      </c>
      <c r="G41" s="170">
        <v>2229448</v>
      </c>
      <c r="H41" s="173">
        <f aca="true" t="shared" si="4" ref="H41:H46">G41*0.71</f>
        <v>1582908.0799999998</v>
      </c>
      <c r="I41" s="167">
        <f aca="true" t="shared" si="5" ref="I41:J44">(G41/D41)/6</f>
        <v>2899.0767470286864</v>
      </c>
      <c r="J41" s="167">
        <f t="shared" si="5"/>
        <v>2794.0903763326974</v>
      </c>
      <c r="K41" s="183">
        <f>B41/F41</f>
        <v>11.426666666666666</v>
      </c>
    </row>
    <row r="42" spans="1:11" ht="12.75">
      <c r="A42" s="169" t="s">
        <v>253</v>
      </c>
      <c r="B42" s="170">
        <v>622</v>
      </c>
      <c r="C42" s="170">
        <v>25</v>
      </c>
      <c r="D42" s="170">
        <v>89.47</v>
      </c>
      <c r="E42" s="170">
        <v>58.22</v>
      </c>
      <c r="F42" s="170">
        <v>55</v>
      </c>
      <c r="G42" s="170">
        <v>1450342</v>
      </c>
      <c r="H42" s="173">
        <f t="shared" si="4"/>
        <v>1029742.82</v>
      </c>
      <c r="I42" s="167">
        <f t="shared" si="5"/>
        <v>2701.728698632689</v>
      </c>
      <c r="J42" s="167">
        <f t="shared" si="5"/>
        <v>2947.849593495935</v>
      </c>
      <c r="K42" s="183">
        <f>B42/F42</f>
        <v>11.309090909090909</v>
      </c>
    </row>
    <row r="43" spans="1:11" ht="12.75">
      <c r="A43" s="169" t="s">
        <v>254</v>
      </c>
      <c r="B43" s="170">
        <v>1043</v>
      </c>
      <c r="C43" s="170">
        <v>36</v>
      </c>
      <c r="D43" s="170">
        <v>123.86</v>
      </c>
      <c r="E43" s="170">
        <v>86.36</v>
      </c>
      <c r="F43" s="170">
        <v>69</v>
      </c>
      <c r="G43" s="170">
        <v>2045622</v>
      </c>
      <c r="H43" s="173">
        <f t="shared" si="4"/>
        <v>1452391.6199999999</v>
      </c>
      <c r="I43" s="167">
        <f t="shared" si="5"/>
        <v>2752.5997093492656</v>
      </c>
      <c r="J43" s="167">
        <f t="shared" si="5"/>
        <v>2802.979041222788</v>
      </c>
      <c r="K43" s="183">
        <f>B43/F43</f>
        <v>15.115942028985508</v>
      </c>
    </row>
    <row r="44" spans="1:11" ht="12.75">
      <c r="A44" s="169" t="s">
        <v>255</v>
      </c>
      <c r="B44" s="170">
        <v>707</v>
      </c>
      <c r="C44" s="170">
        <v>27</v>
      </c>
      <c r="D44" s="170">
        <v>112.06</v>
      </c>
      <c r="E44" s="170">
        <v>76.06</v>
      </c>
      <c r="F44" s="170">
        <v>62</v>
      </c>
      <c r="G44" s="170">
        <v>1889781</v>
      </c>
      <c r="H44" s="173">
        <f t="shared" si="4"/>
        <v>1341744.51</v>
      </c>
      <c r="I44" s="167">
        <f t="shared" si="5"/>
        <v>2810.668391932893</v>
      </c>
      <c r="J44" s="167">
        <f t="shared" si="5"/>
        <v>2940.1010386536946</v>
      </c>
      <c r="K44" s="183">
        <f>B44/F44</f>
        <v>11.403225806451612</v>
      </c>
    </row>
    <row r="45" spans="1:11" ht="12.75">
      <c r="A45" s="169" t="s">
        <v>198</v>
      </c>
      <c r="B45" s="170">
        <v>0</v>
      </c>
      <c r="C45" s="170">
        <v>0</v>
      </c>
      <c r="D45" s="170">
        <v>0</v>
      </c>
      <c r="E45" s="170">
        <v>0</v>
      </c>
      <c r="F45" s="170">
        <v>0</v>
      </c>
      <c r="G45" s="170">
        <v>0</v>
      </c>
      <c r="H45" s="182">
        <f t="shared" si="4"/>
        <v>0</v>
      </c>
      <c r="I45" s="182">
        <v>0</v>
      </c>
      <c r="J45" s="182">
        <v>0</v>
      </c>
      <c r="K45" s="183">
        <v>0</v>
      </c>
    </row>
    <row r="46" spans="1:11" ht="13.5" thickBot="1">
      <c r="A46" s="171" t="s">
        <v>199</v>
      </c>
      <c r="B46" s="172">
        <v>373</v>
      </c>
      <c r="C46" s="172">
        <v>16</v>
      </c>
      <c r="D46" s="172">
        <v>100.24</v>
      </c>
      <c r="E46" s="172">
        <v>52.04</v>
      </c>
      <c r="F46" s="172">
        <v>37</v>
      </c>
      <c r="G46" s="172">
        <v>1487542</v>
      </c>
      <c r="H46" s="173">
        <f t="shared" si="4"/>
        <v>1056154.8199999998</v>
      </c>
      <c r="I46" s="167">
        <f aca="true" t="shared" si="6" ref="I46:J48">(G46/D46)/6</f>
        <v>2473.300744878957</v>
      </c>
      <c r="J46" s="167">
        <f t="shared" si="6"/>
        <v>3382.509672047143</v>
      </c>
      <c r="K46" s="174">
        <f>B46/F46</f>
        <v>10.08108108108108</v>
      </c>
    </row>
    <row r="47" spans="1:11" ht="13.5" thickBot="1">
      <c r="A47" s="175" t="s">
        <v>256</v>
      </c>
      <c r="B47" s="176">
        <f aca="true" t="shared" si="7" ref="B47:H47">SUM(B41:B46)</f>
        <v>3602</v>
      </c>
      <c r="C47" s="176">
        <f t="shared" si="7"/>
        <v>135</v>
      </c>
      <c r="D47" s="176">
        <f t="shared" si="7"/>
        <v>553.8</v>
      </c>
      <c r="E47" s="176">
        <f t="shared" si="7"/>
        <v>367.1</v>
      </c>
      <c r="F47" s="176">
        <f t="shared" si="7"/>
        <v>298</v>
      </c>
      <c r="G47" s="176">
        <f t="shared" si="7"/>
        <v>9102735</v>
      </c>
      <c r="H47" s="177">
        <f t="shared" si="7"/>
        <v>6462941.85</v>
      </c>
      <c r="I47" s="177">
        <f t="shared" si="6"/>
        <v>2739.477248104009</v>
      </c>
      <c r="J47" s="177">
        <f t="shared" si="6"/>
        <v>2934.2331108689727</v>
      </c>
      <c r="K47" s="178">
        <f>B47/F47</f>
        <v>12.087248322147651</v>
      </c>
    </row>
    <row r="48" spans="1:11" ht="13.5" thickBot="1">
      <c r="A48" s="175" t="s">
        <v>257</v>
      </c>
      <c r="B48" s="176">
        <f aca="true" t="shared" si="8" ref="B48:H48">B47+B39</f>
        <v>21601</v>
      </c>
      <c r="C48" s="176">
        <f t="shared" si="8"/>
        <v>832</v>
      </c>
      <c r="D48" s="184">
        <f t="shared" si="8"/>
        <v>3241.0999999999995</v>
      </c>
      <c r="E48" s="176">
        <f t="shared" si="8"/>
        <v>2153.6500000000005</v>
      </c>
      <c r="F48" s="176">
        <f t="shared" si="8"/>
        <v>1754</v>
      </c>
      <c r="G48" s="176">
        <f t="shared" si="8"/>
        <v>53683407</v>
      </c>
      <c r="H48" s="177">
        <f t="shared" si="8"/>
        <v>38115218.96999999</v>
      </c>
      <c r="I48" s="177">
        <f t="shared" si="6"/>
        <v>2760.554904199192</v>
      </c>
      <c r="J48" s="177">
        <f t="shared" si="6"/>
        <v>2949.6605739094084</v>
      </c>
      <c r="K48" s="178">
        <f>B48/F48</f>
        <v>12.31527936145952</v>
      </c>
    </row>
    <row r="49" spans="1:11" ht="12.75">
      <c r="A49" s="185"/>
      <c r="B49" s="186"/>
      <c r="C49" s="186"/>
      <c r="D49" s="186"/>
      <c r="E49" s="186"/>
      <c r="F49" s="186"/>
      <c r="G49" s="186"/>
      <c r="H49" s="186"/>
      <c r="I49" s="186"/>
      <c r="J49" s="186"/>
      <c r="K49" s="187"/>
    </row>
    <row r="50" spans="1:11" ht="12.75">
      <c r="A50" s="165" t="s">
        <v>258</v>
      </c>
      <c r="B50" s="166">
        <v>147</v>
      </c>
      <c r="C50" s="166">
        <v>17</v>
      </c>
      <c r="D50" s="166">
        <v>101.72</v>
      </c>
      <c r="E50" s="166">
        <v>75.82</v>
      </c>
      <c r="F50" s="166">
        <v>37</v>
      </c>
      <c r="G50" s="166">
        <v>1811634</v>
      </c>
      <c r="H50" s="173">
        <f>G50*0.71</f>
        <v>1286260.14</v>
      </c>
      <c r="I50" s="167">
        <f aca="true" t="shared" si="9" ref="I50:J53">(G50/D50)/6</f>
        <v>2968.3346441211165</v>
      </c>
      <c r="J50" s="167">
        <f t="shared" si="9"/>
        <v>2827.442495383804</v>
      </c>
      <c r="K50" s="168">
        <f>B50/F50</f>
        <v>3.972972972972973</v>
      </c>
    </row>
    <row r="51" spans="1:11" ht="12.75">
      <c r="A51" s="169" t="s">
        <v>259</v>
      </c>
      <c r="B51" s="170">
        <v>90</v>
      </c>
      <c r="C51" s="170">
        <v>9</v>
      </c>
      <c r="D51" s="170">
        <v>54.69</v>
      </c>
      <c r="E51" s="170">
        <v>34.69</v>
      </c>
      <c r="F51" s="170">
        <v>28</v>
      </c>
      <c r="G51" s="170">
        <v>1020479</v>
      </c>
      <c r="H51" s="173">
        <f>G51*0.71</f>
        <v>724540.09</v>
      </c>
      <c r="I51" s="167">
        <f t="shared" si="9"/>
        <v>3109.889071737673</v>
      </c>
      <c r="J51" s="167">
        <f t="shared" si="9"/>
        <v>3481.0228211780536</v>
      </c>
      <c r="K51" s="183">
        <f>B51/F51</f>
        <v>3.2142857142857144</v>
      </c>
    </row>
    <row r="52" spans="1:11" ht="13.5" thickBot="1">
      <c r="A52" s="171" t="s">
        <v>260</v>
      </c>
      <c r="B52" s="172">
        <v>103</v>
      </c>
      <c r="C52" s="172">
        <v>11</v>
      </c>
      <c r="D52" s="172">
        <v>74.21</v>
      </c>
      <c r="E52" s="172">
        <v>46.76</v>
      </c>
      <c r="F52" s="172">
        <v>14</v>
      </c>
      <c r="G52" s="172">
        <v>1070000</v>
      </c>
      <c r="H52" s="173">
        <f>G52*0.71</f>
        <v>759700</v>
      </c>
      <c r="I52" s="167">
        <f t="shared" si="9"/>
        <v>2403.090329245834</v>
      </c>
      <c r="J52" s="167">
        <f t="shared" si="9"/>
        <v>2707.7986883376107</v>
      </c>
      <c r="K52" s="174">
        <f>B52/F52</f>
        <v>7.357142857142857</v>
      </c>
    </row>
    <row r="53" spans="1:11" ht="13.5" thickBot="1">
      <c r="A53" s="175" t="s">
        <v>261</v>
      </c>
      <c r="B53" s="176">
        <f aca="true" t="shared" si="10" ref="B53:H53">SUM(B50:B52)</f>
        <v>340</v>
      </c>
      <c r="C53" s="176">
        <f t="shared" si="10"/>
        <v>37</v>
      </c>
      <c r="D53" s="176">
        <f t="shared" si="10"/>
        <v>230.62</v>
      </c>
      <c r="E53" s="176">
        <f t="shared" si="10"/>
        <v>157.26999999999998</v>
      </c>
      <c r="F53" s="176">
        <f t="shared" si="10"/>
        <v>79</v>
      </c>
      <c r="G53" s="176">
        <f t="shared" si="10"/>
        <v>3902113</v>
      </c>
      <c r="H53" s="177">
        <f t="shared" si="10"/>
        <v>2770500.23</v>
      </c>
      <c r="I53" s="177">
        <f t="shared" si="9"/>
        <v>2820.016332784089</v>
      </c>
      <c r="J53" s="177">
        <f t="shared" si="9"/>
        <v>2936.0338165787075</v>
      </c>
      <c r="K53" s="178">
        <f>B53/F53</f>
        <v>4.30379746835443</v>
      </c>
    </row>
    <row r="54" spans="1:11" ht="12.75">
      <c r="A54" s="185"/>
      <c r="B54" s="186"/>
      <c r="C54" s="186"/>
      <c r="D54" s="186"/>
      <c r="E54" s="186"/>
      <c r="F54" s="186"/>
      <c r="G54" s="186"/>
      <c r="H54" s="186"/>
      <c r="I54" s="186"/>
      <c r="J54" s="186"/>
      <c r="K54" s="187"/>
    </row>
    <row r="55" spans="1:11" ht="13.5" thickBot="1">
      <c r="A55" s="190" t="s">
        <v>262</v>
      </c>
      <c r="B55" s="191">
        <v>376</v>
      </c>
      <c r="C55" s="191">
        <v>17</v>
      </c>
      <c r="D55" s="191">
        <v>161</v>
      </c>
      <c r="E55" s="191">
        <v>72</v>
      </c>
      <c r="F55" s="191">
        <v>41</v>
      </c>
      <c r="G55" s="191">
        <v>2051763</v>
      </c>
      <c r="H55" s="173">
        <f>G55*0.71</f>
        <v>1456751.73</v>
      </c>
      <c r="I55" s="167">
        <f>(G55/D55)/6</f>
        <v>2123.9782608695655</v>
      </c>
      <c r="J55" s="167">
        <f>(H55/E55)/6</f>
        <v>3372.110486111111</v>
      </c>
      <c r="K55" s="174">
        <f>B55/F55</f>
        <v>9.170731707317072</v>
      </c>
    </row>
    <row r="56" spans="1:11" ht="13.5" thickBot="1">
      <c r="A56" s="175" t="s">
        <v>263</v>
      </c>
      <c r="B56" s="176">
        <f aca="true" t="shared" si="11" ref="B56:H56">B55</f>
        <v>376</v>
      </c>
      <c r="C56" s="176">
        <f t="shared" si="11"/>
        <v>17</v>
      </c>
      <c r="D56" s="176">
        <f t="shared" si="11"/>
        <v>161</v>
      </c>
      <c r="E56" s="176">
        <f t="shared" si="11"/>
        <v>72</v>
      </c>
      <c r="F56" s="176">
        <f t="shared" si="11"/>
        <v>41</v>
      </c>
      <c r="G56" s="176">
        <f t="shared" si="11"/>
        <v>2051763</v>
      </c>
      <c r="H56" s="177">
        <f t="shared" si="11"/>
        <v>1456751.73</v>
      </c>
      <c r="I56" s="177">
        <f>(G56/D56)/6</f>
        <v>2123.9782608695655</v>
      </c>
      <c r="J56" s="177">
        <f>(H56/E56)/6</f>
        <v>3372.110486111111</v>
      </c>
      <c r="K56" s="178">
        <f>B56/F56</f>
        <v>9.170731707317072</v>
      </c>
    </row>
    <row r="57" spans="1:11" ht="12.75">
      <c r="A57" s="185"/>
      <c r="B57" s="186"/>
      <c r="C57" s="186"/>
      <c r="D57" s="186"/>
      <c r="E57" s="186"/>
      <c r="F57" s="186"/>
      <c r="G57" s="186"/>
      <c r="H57" s="186"/>
      <c r="I57" s="186"/>
      <c r="J57" s="186"/>
      <c r="K57" s="187"/>
    </row>
    <row r="58" spans="1:11" ht="13.5" thickBot="1">
      <c r="A58" s="190" t="s">
        <v>264</v>
      </c>
      <c r="B58" s="191">
        <v>145</v>
      </c>
      <c r="C58" s="191">
        <v>9</v>
      </c>
      <c r="D58" s="191">
        <v>15.17</v>
      </c>
      <c r="E58" s="191">
        <v>15.17</v>
      </c>
      <c r="F58" s="191">
        <v>12</v>
      </c>
      <c r="G58" s="191">
        <v>384603</v>
      </c>
      <c r="H58" s="173">
        <f>G58*1</f>
        <v>384603</v>
      </c>
      <c r="I58" s="167">
        <f>(G58/D58)/6</f>
        <v>4225.477916941331</v>
      </c>
      <c r="J58" s="167">
        <f>(H58/E58)/6</f>
        <v>4225.477916941331</v>
      </c>
      <c r="K58" s="174">
        <f>B58/F58</f>
        <v>12.083333333333334</v>
      </c>
    </row>
    <row r="59" spans="1:11" ht="13.5" thickBot="1">
      <c r="A59" s="175" t="s">
        <v>265</v>
      </c>
      <c r="B59" s="176">
        <f aca="true" t="shared" si="12" ref="B59:H59">B58</f>
        <v>145</v>
      </c>
      <c r="C59" s="176">
        <f t="shared" si="12"/>
        <v>9</v>
      </c>
      <c r="D59" s="176">
        <f t="shared" si="12"/>
        <v>15.17</v>
      </c>
      <c r="E59" s="176">
        <f t="shared" si="12"/>
        <v>15.17</v>
      </c>
      <c r="F59" s="176">
        <f t="shared" si="12"/>
        <v>12</v>
      </c>
      <c r="G59" s="176">
        <f t="shared" si="12"/>
        <v>384603</v>
      </c>
      <c r="H59" s="177">
        <f t="shared" si="12"/>
        <v>384603</v>
      </c>
      <c r="I59" s="177">
        <f>(G59/D59)/6</f>
        <v>4225.477916941331</v>
      </c>
      <c r="J59" s="177">
        <f>(H59/E59)/6</f>
        <v>4225.477916941331</v>
      </c>
      <c r="K59" s="178">
        <f>B59/F59</f>
        <v>12.083333333333334</v>
      </c>
    </row>
    <row r="60" spans="1:11" ht="13.5" thickBot="1">
      <c r="A60" s="192"/>
      <c r="B60" s="193"/>
      <c r="C60" s="193"/>
      <c r="D60" s="193"/>
      <c r="E60" s="193"/>
      <c r="F60" s="193"/>
      <c r="G60" s="193"/>
      <c r="H60" s="193"/>
      <c r="I60" s="193"/>
      <c r="J60" s="193"/>
      <c r="K60" s="194"/>
    </row>
  </sheetData>
  <mergeCells count="12">
    <mergeCell ref="K3:K4"/>
    <mergeCell ref="A40:K40"/>
    <mergeCell ref="A1:K1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8"/>
  <sheetViews>
    <sheetView view="pageBreakPreview" zoomScaleSheetLayoutView="100" workbookViewId="0" topLeftCell="A19">
      <selection activeCell="G38" sqref="G38"/>
    </sheetView>
  </sheetViews>
  <sheetFormatPr defaultColWidth="9.00390625" defaultRowHeight="12.75"/>
  <cols>
    <col min="1" max="1" width="11.25390625" style="1" customWidth="1"/>
    <col min="2" max="2" width="12.125" style="1" customWidth="1"/>
    <col min="3" max="4" width="12.375" style="1" customWidth="1"/>
    <col min="5" max="5" width="13.625" style="1" customWidth="1"/>
    <col min="6" max="6" width="13.375" style="1" customWidth="1"/>
    <col min="7" max="7" width="14.125" style="1" customWidth="1"/>
    <col min="8" max="15" width="9.75390625" style="1" customWidth="1"/>
    <col min="16" max="16384" width="9.125" style="1" customWidth="1"/>
  </cols>
  <sheetData>
    <row r="1" spans="3:12" ht="15">
      <c r="C1" s="91" t="s">
        <v>96</v>
      </c>
      <c r="D1" s="91"/>
      <c r="E1" s="91"/>
      <c r="F1" s="91"/>
      <c r="G1" s="91"/>
      <c r="H1" s="91"/>
      <c r="I1" s="91"/>
      <c r="J1" s="91"/>
      <c r="K1" s="91"/>
      <c r="L1" s="91"/>
    </row>
    <row r="2" spans="3:15" ht="10.5" customHeight="1" thickBot="1">
      <c r="C2" s="92"/>
      <c r="D2" s="92"/>
      <c r="E2" s="92"/>
      <c r="F2" s="92"/>
      <c r="G2" s="92"/>
      <c r="H2" s="92"/>
      <c r="I2" s="92"/>
      <c r="J2" s="92"/>
      <c r="K2" s="92"/>
      <c r="L2" s="92"/>
      <c r="O2" s="1" t="s">
        <v>43</v>
      </c>
    </row>
    <row r="3" spans="1:15" ht="30.75" customHeight="1">
      <c r="A3" s="100" t="s">
        <v>34</v>
      </c>
      <c r="B3" s="102" t="s">
        <v>99</v>
      </c>
      <c r="C3" s="102" t="s">
        <v>100</v>
      </c>
      <c r="D3" s="103" t="s">
        <v>112</v>
      </c>
      <c r="E3" s="102" t="s">
        <v>35</v>
      </c>
      <c r="F3" s="102"/>
      <c r="G3" s="102"/>
      <c r="H3" s="96" t="s">
        <v>109</v>
      </c>
      <c r="I3" s="99"/>
      <c r="J3" s="96" t="s">
        <v>35</v>
      </c>
      <c r="K3" s="97"/>
      <c r="L3" s="97"/>
      <c r="M3" s="97"/>
      <c r="N3" s="97"/>
      <c r="O3" s="98"/>
    </row>
    <row r="4" spans="1:15" ht="30.75" customHeight="1">
      <c r="A4" s="101"/>
      <c r="B4" s="93"/>
      <c r="C4" s="93"/>
      <c r="D4" s="104"/>
      <c r="E4" s="93" t="s">
        <v>107</v>
      </c>
      <c r="F4" s="93" t="s">
        <v>108</v>
      </c>
      <c r="G4" s="93" t="s">
        <v>110</v>
      </c>
      <c r="H4" s="93" t="s">
        <v>53</v>
      </c>
      <c r="I4" s="93" t="s">
        <v>54</v>
      </c>
      <c r="J4" s="105" t="s">
        <v>107</v>
      </c>
      <c r="K4" s="107"/>
      <c r="L4" s="108" t="s">
        <v>108</v>
      </c>
      <c r="M4" s="108"/>
      <c r="N4" s="105" t="s">
        <v>110</v>
      </c>
      <c r="O4" s="106"/>
    </row>
    <row r="5" spans="1:15" ht="33" customHeight="1">
      <c r="A5" s="101"/>
      <c r="B5" s="93"/>
      <c r="C5" s="93"/>
      <c r="D5" s="104"/>
      <c r="E5" s="93"/>
      <c r="F5" s="93"/>
      <c r="G5" s="93"/>
      <c r="H5" s="93"/>
      <c r="I5" s="93"/>
      <c r="J5" s="2" t="s">
        <v>53</v>
      </c>
      <c r="K5" s="2" t="s">
        <v>55</v>
      </c>
      <c r="L5" s="2" t="s">
        <v>53</v>
      </c>
      <c r="M5" s="2" t="s">
        <v>55</v>
      </c>
      <c r="N5" s="2" t="s">
        <v>53</v>
      </c>
      <c r="O5" s="3" t="s">
        <v>55</v>
      </c>
    </row>
    <row r="6" spans="1:25" ht="15">
      <c r="A6" s="56" t="s">
        <v>56</v>
      </c>
      <c r="B6" s="5">
        <v>144</v>
      </c>
      <c r="C6" s="5">
        <v>6</v>
      </c>
      <c r="D6" s="5">
        <v>1026536</v>
      </c>
      <c r="E6" s="5">
        <v>204483</v>
      </c>
      <c r="F6" s="5">
        <v>36169</v>
      </c>
      <c r="G6" s="5">
        <f>558798+203531</f>
        <v>762329</v>
      </c>
      <c r="H6" s="5">
        <f aca="true" t="shared" si="0" ref="H6:H20">D6/B6</f>
        <v>7128.722222222223</v>
      </c>
      <c r="I6" s="5">
        <f aca="true" t="shared" si="1" ref="I6:I20">D6/C6</f>
        <v>171089.33333333334</v>
      </c>
      <c r="J6" s="5">
        <f aca="true" t="shared" si="2" ref="J6:J20">E6/B6</f>
        <v>1420.0208333333333</v>
      </c>
      <c r="K6" s="5">
        <f aca="true" t="shared" si="3" ref="K6:K20">E6/C6</f>
        <v>34080.5</v>
      </c>
      <c r="L6" s="5">
        <f aca="true" t="shared" si="4" ref="L6:L20">F6/B6</f>
        <v>251.17361111111111</v>
      </c>
      <c r="M6" s="5">
        <f aca="true" t="shared" si="5" ref="M6:M20">F6/C6</f>
        <v>6028.166666666667</v>
      </c>
      <c r="N6" s="5">
        <f aca="true" t="shared" si="6" ref="N6:N20">G6/B6</f>
        <v>5293.951388888889</v>
      </c>
      <c r="O6" s="6">
        <f aca="true" t="shared" si="7" ref="O6:O20">G6/C6</f>
        <v>127054.83333333333</v>
      </c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5">
      <c r="A7" s="56" t="s">
        <v>57</v>
      </c>
      <c r="B7" s="5">
        <v>249</v>
      </c>
      <c r="C7" s="5">
        <v>10</v>
      </c>
      <c r="D7" s="5">
        <v>1668830</v>
      </c>
      <c r="E7" s="5">
        <v>338431</v>
      </c>
      <c r="F7" s="5">
        <v>58960</v>
      </c>
      <c r="G7" s="5">
        <f>869290+305534</f>
        <v>1174824</v>
      </c>
      <c r="H7" s="5">
        <f t="shared" si="0"/>
        <v>6702.128514056225</v>
      </c>
      <c r="I7" s="5">
        <f t="shared" si="1"/>
        <v>166883</v>
      </c>
      <c r="J7" s="5">
        <f t="shared" si="2"/>
        <v>1359.1606425702812</v>
      </c>
      <c r="K7" s="5">
        <f t="shared" si="3"/>
        <v>33843.1</v>
      </c>
      <c r="L7" s="5">
        <f t="shared" si="4"/>
        <v>236.7871485943775</v>
      </c>
      <c r="M7" s="5">
        <f t="shared" si="5"/>
        <v>5896</v>
      </c>
      <c r="N7" s="5">
        <f t="shared" si="6"/>
        <v>4718.168674698795</v>
      </c>
      <c r="O7" s="6">
        <f t="shared" si="7"/>
        <v>117482.4</v>
      </c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5">
      <c r="A8" s="56" t="s">
        <v>58</v>
      </c>
      <c r="B8" s="5">
        <v>107</v>
      </c>
      <c r="C8" s="5">
        <v>5</v>
      </c>
      <c r="D8" s="5">
        <v>831617</v>
      </c>
      <c r="E8" s="5">
        <v>86339</v>
      </c>
      <c r="F8" s="5">
        <v>30998</v>
      </c>
      <c r="G8" s="5">
        <f>508918+190574</f>
        <v>699492</v>
      </c>
      <c r="H8" s="5">
        <f t="shared" si="0"/>
        <v>7772.121495327103</v>
      </c>
      <c r="I8" s="5">
        <f t="shared" si="1"/>
        <v>166323.4</v>
      </c>
      <c r="J8" s="5">
        <f t="shared" si="2"/>
        <v>806.9065420560747</v>
      </c>
      <c r="K8" s="5">
        <f t="shared" si="3"/>
        <v>17267.8</v>
      </c>
      <c r="L8" s="5">
        <f t="shared" si="4"/>
        <v>289.70093457943926</v>
      </c>
      <c r="M8" s="5">
        <f t="shared" si="5"/>
        <v>6199.6</v>
      </c>
      <c r="N8" s="5">
        <f t="shared" si="6"/>
        <v>6537.308411214954</v>
      </c>
      <c r="O8" s="6">
        <f t="shared" si="7"/>
        <v>139898.4</v>
      </c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">
      <c r="A9" s="56" t="s">
        <v>59</v>
      </c>
      <c r="B9" s="5">
        <v>187</v>
      </c>
      <c r="C9" s="5">
        <v>7</v>
      </c>
      <c r="D9" s="5">
        <v>1443342</v>
      </c>
      <c r="E9" s="5">
        <v>228793</v>
      </c>
      <c r="F9" s="5">
        <v>68827</v>
      </c>
      <c r="G9" s="5">
        <f>805106+299521</f>
        <v>1104627</v>
      </c>
      <c r="H9" s="5">
        <f t="shared" si="0"/>
        <v>7718.406417112299</v>
      </c>
      <c r="I9" s="5">
        <f t="shared" si="1"/>
        <v>206191.7142857143</v>
      </c>
      <c r="J9" s="5">
        <f t="shared" si="2"/>
        <v>1223.4919786096257</v>
      </c>
      <c r="K9" s="5">
        <f t="shared" si="3"/>
        <v>32684.714285714286</v>
      </c>
      <c r="L9" s="5">
        <f t="shared" si="4"/>
        <v>368.05882352941177</v>
      </c>
      <c r="M9" s="5">
        <f t="shared" si="5"/>
        <v>9832.42857142857</v>
      </c>
      <c r="N9" s="5">
        <f t="shared" si="6"/>
        <v>5907.096256684492</v>
      </c>
      <c r="O9" s="6">
        <f t="shared" si="7"/>
        <v>157803.85714285713</v>
      </c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5">
      <c r="A10" s="56" t="s">
        <v>94</v>
      </c>
      <c r="B10" s="5">
        <v>151</v>
      </c>
      <c r="C10" s="5">
        <v>6</v>
      </c>
      <c r="D10" s="5">
        <v>1034662</v>
      </c>
      <c r="E10" s="5">
        <v>214243</v>
      </c>
      <c r="F10" s="5">
        <v>56416</v>
      </c>
      <c r="G10" s="5">
        <f>521871+194466</f>
        <v>716337</v>
      </c>
      <c r="H10" s="5">
        <f>D10/B10</f>
        <v>6852.066225165563</v>
      </c>
      <c r="I10" s="5">
        <f>D10/C10</f>
        <v>172443.66666666666</v>
      </c>
      <c r="J10" s="5">
        <f>E10/B10</f>
        <v>1418.8278145695365</v>
      </c>
      <c r="K10" s="5">
        <f>E10/C10</f>
        <v>35707.166666666664</v>
      </c>
      <c r="L10" s="5">
        <f>F10/B10</f>
        <v>373.6158940397351</v>
      </c>
      <c r="M10" s="5">
        <f>F10/C10</f>
        <v>9402.666666666666</v>
      </c>
      <c r="N10" s="5">
        <f>G10/B10</f>
        <v>4743.953642384106</v>
      </c>
      <c r="O10" s="6">
        <f>G10/C10</f>
        <v>119389.5</v>
      </c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5">
      <c r="A11" s="56" t="s">
        <v>60</v>
      </c>
      <c r="B11" s="5">
        <v>122</v>
      </c>
      <c r="C11" s="5">
        <v>5</v>
      </c>
      <c r="D11" s="5">
        <v>1042285</v>
      </c>
      <c r="E11" s="5">
        <v>163221</v>
      </c>
      <c r="F11" s="5">
        <v>36934</v>
      </c>
      <c r="G11" s="5">
        <f>577675+210151</f>
        <v>787826</v>
      </c>
      <c r="H11" s="5">
        <f t="shared" si="0"/>
        <v>8543.319672131147</v>
      </c>
      <c r="I11" s="5">
        <f t="shared" si="1"/>
        <v>208457</v>
      </c>
      <c r="J11" s="5">
        <f t="shared" si="2"/>
        <v>1337.877049180328</v>
      </c>
      <c r="K11" s="5">
        <f t="shared" si="3"/>
        <v>32644.2</v>
      </c>
      <c r="L11" s="5">
        <f t="shared" si="4"/>
        <v>302.73770491803276</v>
      </c>
      <c r="M11" s="5">
        <f t="shared" si="5"/>
        <v>7386.8</v>
      </c>
      <c r="N11" s="5">
        <f t="shared" si="6"/>
        <v>6457.5901639344265</v>
      </c>
      <c r="O11" s="6">
        <f t="shared" si="7"/>
        <v>157565.2</v>
      </c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5">
      <c r="A12" s="56" t="s">
        <v>61</v>
      </c>
      <c r="B12" s="5">
        <v>73</v>
      </c>
      <c r="C12" s="5">
        <v>3</v>
      </c>
      <c r="D12" s="5">
        <v>577023</v>
      </c>
      <c r="E12" s="5">
        <v>67862</v>
      </c>
      <c r="F12" s="5">
        <v>36800</v>
      </c>
      <c r="G12" s="5">
        <f>342146+129767</f>
        <v>471913</v>
      </c>
      <c r="H12" s="5">
        <f t="shared" si="0"/>
        <v>7904.424657534247</v>
      </c>
      <c r="I12" s="5">
        <f t="shared" si="1"/>
        <v>192341</v>
      </c>
      <c r="J12" s="5">
        <f t="shared" si="2"/>
        <v>929.6164383561644</v>
      </c>
      <c r="K12" s="5">
        <f t="shared" si="3"/>
        <v>22620.666666666668</v>
      </c>
      <c r="L12" s="5">
        <f t="shared" si="4"/>
        <v>504.1095890410959</v>
      </c>
      <c r="M12" s="5">
        <f t="shared" si="5"/>
        <v>12266.666666666666</v>
      </c>
      <c r="N12" s="5">
        <f t="shared" si="6"/>
        <v>6464.561643835616</v>
      </c>
      <c r="O12" s="6">
        <f t="shared" si="7"/>
        <v>157304.33333333334</v>
      </c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5">
      <c r="A13" s="56" t="s">
        <v>62</v>
      </c>
      <c r="B13" s="5">
        <v>90</v>
      </c>
      <c r="C13" s="5">
        <v>7</v>
      </c>
      <c r="D13" s="5">
        <v>1429161</v>
      </c>
      <c r="E13" s="5">
        <v>228329</v>
      </c>
      <c r="F13" s="5">
        <v>40627</v>
      </c>
      <c r="G13" s="5">
        <f>827527+308593</f>
        <v>1136120</v>
      </c>
      <c r="H13" s="5">
        <f t="shared" si="0"/>
        <v>15879.566666666668</v>
      </c>
      <c r="I13" s="5">
        <f t="shared" si="1"/>
        <v>204165.85714285713</v>
      </c>
      <c r="J13" s="5">
        <f t="shared" si="2"/>
        <v>2536.988888888889</v>
      </c>
      <c r="K13" s="5">
        <f t="shared" si="3"/>
        <v>32618.428571428572</v>
      </c>
      <c r="L13" s="5">
        <f t="shared" si="4"/>
        <v>451.4111111111111</v>
      </c>
      <c r="M13" s="5">
        <f t="shared" si="5"/>
        <v>5803.857142857143</v>
      </c>
      <c r="N13" s="5">
        <f t="shared" si="6"/>
        <v>12623.555555555555</v>
      </c>
      <c r="O13" s="6">
        <f t="shared" si="7"/>
        <v>162302.85714285713</v>
      </c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5">
      <c r="A14" s="56" t="s">
        <v>63</v>
      </c>
      <c r="B14" s="5">
        <v>196</v>
      </c>
      <c r="C14" s="5">
        <v>8</v>
      </c>
      <c r="D14" s="5">
        <v>1425215</v>
      </c>
      <c r="E14" s="5">
        <v>341059</v>
      </c>
      <c r="F14" s="5">
        <v>328679</v>
      </c>
      <c r="G14" s="5">
        <f>743622+281022</f>
        <v>1024644</v>
      </c>
      <c r="H14" s="5">
        <f t="shared" si="0"/>
        <v>7271.505102040816</v>
      </c>
      <c r="I14" s="5">
        <f t="shared" si="1"/>
        <v>178151.875</v>
      </c>
      <c r="J14" s="5">
        <f t="shared" si="2"/>
        <v>1740.0969387755101</v>
      </c>
      <c r="K14" s="5">
        <f t="shared" si="3"/>
        <v>42632.375</v>
      </c>
      <c r="L14" s="5">
        <f t="shared" si="4"/>
        <v>1676.9336734693877</v>
      </c>
      <c r="M14" s="5">
        <f t="shared" si="5"/>
        <v>41084.875</v>
      </c>
      <c r="N14" s="5">
        <f t="shared" si="6"/>
        <v>5227.775510204082</v>
      </c>
      <c r="O14" s="6">
        <f t="shared" si="7"/>
        <v>128080.5</v>
      </c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5">
      <c r="A15" s="56" t="s">
        <v>64</v>
      </c>
      <c r="B15" s="5">
        <v>309</v>
      </c>
      <c r="C15" s="5">
        <v>12</v>
      </c>
      <c r="D15" s="5">
        <v>2180487</v>
      </c>
      <c r="E15" s="5">
        <v>379121</v>
      </c>
      <c r="F15" s="5">
        <v>83905</v>
      </c>
      <c r="G15" s="5">
        <f>1161953+429142</f>
        <v>1591095</v>
      </c>
      <c r="H15" s="5">
        <f t="shared" si="0"/>
        <v>7056.592233009709</v>
      </c>
      <c r="I15" s="5">
        <f t="shared" si="1"/>
        <v>181707.25</v>
      </c>
      <c r="J15" s="5">
        <f t="shared" si="2"/>
        <v>1226.9288025889969</v>
      </c>
      <c r="K15" s="5">
        <f t="shared" si="3"/>
        <v>31593.416666666668</v>
      </c>
      <c r="L15" s="5">
        <f t="shared" si="4"/>
        <v>271.53721682847896</v>
      </c>
      <c r="M15" s="5">
        <f t="shared" si="5"/>
        <v>6992.083333333333</v>
      </c>
      <c r="N15" s="5">
        <f t="shared" si="6"/>
        <v>5149.174757281553</v>
      </c>
      <c r="O15" s="6">
        <f t="shared" si="7"/>
        <v>132591.25</v>
      </c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5">
      <c r="A16" s="56" t="s">
        <v>65</v>
      </c>
      <c r="B16" s="5">
        <v>366</v>
      </c>
      <c r="C16" s="5">
        <v>13</v>
      </c>
      <c r="D16" s="5">
        <v>2119809</v>
      </c>
      <c r="E16" s="5">
        <v>317630</v>
      </c>
      <c r="F16" s="5">
        <v>92049</v>
      </c>
      <c r="G16" s="5">
        <f>1250352+459642</f>
        <v>1709994</v>
      </c>
      <c r="H16" s="5">
        <f t="shared" si="0"/>
        <v>5791.827868852459</v>
      </c>
      <c r="I16" s="5">
        <f t="shared" si="1"/>
        <v>163062.23076923078</v>
      </c>
      <c r="J16" s="5">
        <f t="shared" si="2"/>
        <v>867.8415300546449</v>
      </c>
      <c r="K16" s="5">
        <f t="shared" si="3"/>
        <v>24433.076923076922</v>
      </c>
      <c r="L16" s="5">
        <f t="shared" si="4"/>
        <v>251.5</v>
      </c>
      <c r="M16" s="5">
        <f t="shared" si="5"/>
        <v>7080.692307692308</v>
      </c>
      <c r="N16" s="5">
        <f t="shared" si="6"/>
        <v>4672.11475409836</v>
      </c>
      <c r="O16" s="6">
        <f t="shared" si="7"/>
        <v>131538</v>
      </c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5">
      <c r="A17" s="56" t="s">
        <v>66</v>
      </c>
      <c r="B17" s="5">
        <v>96</v>
      </c>
      <c r="C17" s="5">
        <v>4</v>
      </c>
      <c r="D17" s="5">
        <v>765063</v>
      </c>
      <c r="E17" s="5">
        <v>114331</v>
      </c>
      <c r="F17" s="5">
        <v>44309</v>
      </c>
      <c r="G17" s="5">
        <f>435853+165749</f>
        <v>601602</v>
      </c>
      <c r="H17" s="5">
        <f t="shared" si="0"/>
        <v>7969.40625</v>
      </c>
      <c r="I17" s="5">
        <f t="shared" si="1"/>
        <v>191265.75</v>
      </c>
      <c r="J17" s="5">
        <f t="shared" si="2"/>
        <v>1190.9479166666667</v>
      </c>
      <c r="K17" s="5">
        <f t="shared" si="3"/>
        <v>28582.75</v>
      </c>
      <c r="L17" s="5">
        <f t="shared" si="4"/>
        <v>461.5520833333333</v>
      </c>
      <c r="M17" s="5">
        <f t="shared" si="5"/>
        <v>11077.25</v>
      </c>
      <c r="N17" s="5">
        <f t="shared" si="6"/>
        <v>6266.6875</v>
      </c>
      <c r="O17" s="6">
        <f t="shared" si="7"/>
        <v>150400.5</v>
      </c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5">
      <c r="A18" s="56" t="s">
        <v>67</v>
      </c>
      <c r="B18" s="5">
        <v>156</v>
      </c>
      <c r="C18" s="5">
        <v>7</v>
      </c>
      <c r="D18" s="5">
        <v>1525888</v>
      </c>
      <c r="E18" s="5">
        <v>179940</v>
      </c>
      <c r="F18" s="5">
        <v>50529</v>
      </c>
      <c r="G18" s="5">
        <f>933651+344377</f>
        <v>1278028</v>
      </c>
      <c r="H18" s="5">
        <f t="shared" si="0"/>
        <v>9781.333333333334</v>
      </c>
      <c r="I18" s="5">
        <f t="shared" si="1"/>
        <v>217984</v>
      </c>
      <c r="J18" s="5">
        <f t="shared" si="2"/>
        <v>1153.4615384615386</v>
      </c>
      <c r="K18" s="5">
        <f t="shared" si="3"/>
        <v>25705.714285714286</v>
      </c>
      <c r="L18" s="5">
        <f t="shared" si="4"/>
        <v>323.90384615384613</v>
      </c>
      <c r="M18" s="5">
        <f t="shared" si="5"/>
        <v>7218.428571428572</v>
      </c>
      <c r="N18" s="5">
        <f t="shared" si="6"/>
        <v>8192.48717948718</v>
      </c>
      <c r="O18" s="6">
        <f t="shared" si="7"/>
        <v>182575.42857142858</v>
      </c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5">
      <c r="A19" s="56" t="s">
        <v>68</v>
      </c>
      <c r="B19" s="5">
        <v>185</v>
      </c>
      <c r="C19" s="5">
        <v>7</v>
      </c>
      <c r="D19" s="5">
        <v>1361547</v>
      </c>
      <c r="E19" s="5">
        <v>173460</v>
      </c>
      <c r="F19" s="5">
        <v>52416</v>
      </c>
      <c r="G19" s="5">
        <f>790166+290061</f>
        <v>1080227</v>
      </c>
      <c r="H19" s="5">
        <f t="shared" si="0"/>
        <v>7359.713513513513</v>
      </c>
      <c r="I19" s="5">
        <f t="shared" si="1"/>
        <v>194506.7142857143</v>
      </c>
      <c r="J19" s="5">
        <f t="shared" si="2"/>
        <v>937.6216216216217</v>
      </c>
      <c r="K19" s="5">
        <f t="shared" si="3"/>
        <v>24780</v>
      </c>
      <c r="L19" s="5">
        <f t="shared" si="4"/>
        <v>283.3297297297297</v>
      </c>
      <c r="M19" s="5">
        <f t="shared" si="5"/>
        <v>7488</v>
      </c>
      <c r="N19" s="5">
        <f t="shared" si="6"/>
        <v>5839.064864864865</v>
      </c>
      <c r="O19" s="6">
        <f t="shared" si="7"/>
        <v>154318.14285714287</v>
      </c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5">
      <c r="A20" s="56" t="s">
        <v>69</v>
      </c>
      <c r="B20" s="5">
        <v>176</v>
      </c>
      <c r="C20" s="5">
        <v>6</v>
      </c>
      <c r="D20" s="5">
        <v>1125650</v>
      </c>
      <c r="E20" s="5">
        <v>206562</v>
      </c>
      <c r="F20" s="5">
        <v>54529</v>
      </c>
      <c r="G20" s="5">
        <f>611288+230214</f>
        <v>841502</v>
      </c>
      <c r="H20" s="5">
        <f t="shared" si="0"/>
        <v>6395.738636363636</v>
      </c>
      <c r="I20" s="5">
        <f t="shared" si="1"/>
        <v>187608.33333333334</v>
      </c>
      <c r="J20" s="5">
        <f t="shared" si="2"/>
        <v>1173.6477272727273</v>
      </c>
      <c r="K20" s="5">
        <f t="shared" si="3"/>
        <v>34427</v>
      </c>
      <c r="L20" s="5">
        <f t="shared" si="4"/>
        <v>309.8238636363636</v>
      </c>
      <c r="M20" s="5">
        <f t="shared" si="5"/>
        <v>9088.166666666666</v>
      </c>
      <c r="N20" s="5">
        <f t="shared" si="6"/>
        <v>4781.261363636364</v>
      </c>
      <c r="O20" s="6">
        <f t="shared" si="7"/>
        <v>140250.33333333334</v>
      </c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5">
      <c r="A21" s="56" t="s">
        <v>90</v>
      </c>
      <c r="B21" s="5">
        <v>255</v>
      </c>
      <c r="C21" s="5">
        <v>11</v>
      </c>
      <c r="D21" s="5">
        <v>1978541</v>
      </c>
      <c r="E21" s="5">
        <v>461396</v>
      </c>
      <c r="F21" s="5">
        <v>65669</v>
      </c>
      <c r="G21" s="5">
        <f>1008396+370081</f>
        <v>1378477</v>
      </c>
      <c r="H21" s="5">
        <f aca="true" t="shared" si="8" ref="H21:H44">D21/B21</f>
        <v>7758.98431372549</v>
      </c>
      <c r="I21" s="5">
        <f aca="true" t="shared" si="9" ref="I21:I44">D21/C21</f>
        <v>179867.36363636365</v>
      </c>
      <c r="J21" s="5">
        <f aca="true" t="shared" si="10" ref="J21:J44">E21/B21</f>
        <v>1809.3960784313726</v>
      </c>
      <c r="K21" s="5">
        <f aca="true" t="shared" si="11" ref="K21:K44">E21/C21</f>
        <v>41945.09090909091</v>
      </c>
      <c r="L21" s="5">
        <f aca="true" t="shared" si="12" ref="L21:L44">F21/B21</f>
        <v>257.5254901960784</v>
      </c>
      <c r="M21" s="5">
        <f aca="true" t="shared" si="13" ref="M21:M44">F21/C21</f>
        <v>5969.909090909091</v>
      </c>
      <c r="N21" s="5">
        <f aca="true" t="shared" si="14" ref="N21:N44">G21/B21</f>
        <v>5405.792156862745</v>
      </c>
      <c r="O21" s="6">
        <f aca="true" t="shared" si="15" ref="O21:O44">G21/C21</f>
        <v>125316.09090909091</v>
      </c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5">
      <c r="A22" s="56" t="s">
        <v>70</v>
      </c>
      <c r="B22" s="5">
        <v>213</v>
      </c>
      <c r="C22" s="5">
        <v>9</v>
      </c>
      <c r="D22" s="5">
        <v>1786971</v>
      </c>
      <c r="E22" s="5">
        <v>334461</v>
      </c>
      <c r="F22" s="5">
        <v>77551</v>
      </c>
      <c r="G22" s="5">
        <f>982416+361172</f>
        <v>1343588</v>
      </c>
      <c r="H22" s="5">
        <f t="shared" si="8"/>
        <v>8389.535211267606</v>
      </c>
      <c r="I22" s="5">
        <f t="shared" si="9"/>
        <v>198552.33333333334</v>
      </c>
      <c r="J22" s="5">
        <f t="shared" si="10"/>
        <v>1570.2394366197184</v>
      </c>
      <c r="K22" s="5">
        <f t="shared" si="11"/>
        <v>37162.333333333336</v>
      </c>
      <c r="L22" s="5">
        <f t="shared" si="12"/>
        <v>364.0892018779343</v>
      </c>
      <c r="M22" s="5">
        <f t="shared" si="13"/>
        <v>8616.777777777777</v>
      </c>
      <c r="N22" s="5">
        <f t="shared" si="14"/>
        <v>6307.924882629108</v>
      </c>
      <c r="O22" s="6">
        <f t="shared" si="15"/>
        <v>149287.55555555556</v>
      </c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5">
      <c r="A23" s="56" t="s">
        <v>71</v>
      </c>
      <c r="B23" s="5">
        <v>157</v>
      </c>
      <c r="C23" s="5">
        <v>8</v>
      </c>
      <c r="D23" s="5">
        <v>1939577</v>
      </c>
      <c r="E23" s="5">
        <v>197511</v>
      </c>
      <c r="F23" s="5">
        <v>64641</v>
      </c>
      <c r="G23" s="5">
        <f>1202755+442425</f>
        <v>1645180</v>
      </c>
      <c r="H23" s="5">
        <f t="shared" si="8"/>
        <v>12353.993630573248</v>
      </c>
      <c r="I23" s="5">
        <f t="shared" si="9"/>
        <v>242447.125</v>
      </c>
      <c r="J23" s="5">
        <f t="shared" si="10"/>
        <v>1258.031847133758</v>
      </c>
      <c r="K23" s="5">
        <f t="shared" si="11"/>
        <v>24688.875</v>
      </c>
      <c r="L23" s="5">
        <f t="shared" si="12"/>
        <v>411.7261146496815</v>
      </c>
      <c r="M23" s="5">
        <f t="shared" si="13"/>
        <v>8080.125</v>
      </c>
      <c r="N23" s="5">
        <f t="shared" si="14"/>
        <v>10478.853503184713</v>
      </c>
      <c r="O23" s="6">
        <f t="shared" si="15"/>
        <v>205647.5</v>
      </c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5">
      <c r="A24" s="56" t="s">
        <v>72</v>
      </c>
      <c r="B24" s="5">
        <v>278</v>
      </c>
      <c r="C24" s="5">
        <v>12</v>
      </c>
      <c r="D24" s="5">
        <v>2155338</v>
      </c>
      <c r="E24" s="5">
        <v>292430</v>
      </c>
      <c r="F24" s="5">
        <v>54013</v>
      </c>
      <c r="G24" s="5">
        <f>1239379+453690</f>
        <v>1693069</v>
      </c>
      <c r="H24" s="5">
        <f t="shared" si="8"/>
        <v>7753.014388489209</v>
      </c>
      <c r="I24" s="5">
        <f t="shared" si="9"/>
        <v>179611.5</v>
      </c>
      <c r="J24" s="5">
        <f t="shared" si="10"/>
        <v>1051.9064748201438</v>
      </c>
      <c r="K24" s="5">
        <f t="shared" si="11"/>
        <v>24369.166666666668</v>
      </c>
      <c r="L24" s="5">
        <f t="shared" si="12"/>
        <v>194.29136690647482</v>
      </c>
      <c r="M24" s="5">
        <f t="shared" si="13"/>
        <v>4501.083333333333</v>
      </c>
      <c r="N24" s="5">
        <f t="shared" si="14"/>
        <v>6090.176258992806</v>
      </c>
      <c r="O24" s="6">
        <f t="shared" si="15"/>
        <v>141089.08333333334</v>
      </c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5">
      <c r="A25" s="56" t="s">
        <v>91</v>
      </c>
      <c r="B25" s="5">
        <v>215</v>
      </c>
      <c r="C25" s="5">
        <v>11</v>
      </c>
      <c r="D25" s="5">
        <v>1653235</v>
      </c>
      <c r="E25" s="5">
        <v>273386</v>
      </c>
      <c r="F25" s="5">
        <v>47813</v>
      </c>
      <c r="G25" s="5">
        <f>929627+336847</f>
        <v>1266474</v>
      </c>
      <c r="H25" s="5">
        <f t="shared" si="8"/>
        <v>7689.46511627907</v>
      </c>
      <c r="I25" s="5">
        <f t="shared" si="9"/>
        <v>150294.0909090909</v>
      </c>
      <c r="J25" s="5">
        <f t="shared" si="10"/>
        <v>1271.5627906976745</v>
      </c>
      <c r="K25" s="5">
        <f t="shared" si="11"/>
        <v>24853.272727272728</v>
      </c>
      <c r="L25" s="5">
        <f t="shared" si="12"/>
        <v>222.3860465116279</v>
      </c>
      <c r="M25" s="5">
        <f t="shared" si="13"/>
        <v>4346.636363636364</v>
      </c>
      <c r="N25" s="5">
        <f t="shared" si="14"/>
        <v>5890.576744186046</v>
      </c>
      <c r="O25" s="6">
        <f t="shared" si="15"/>
        <v>115134</v>
      </c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5">
      <c r="A26" s="56" t="s">
        <v>73</v>
      </c>
      <c r="B26" s="5">
        <v>366</v>
      </c>
      <c r="C26" s="5">
        <v>11</v>
      </c>
      <c r="D26" s="5">
        <v>1986610</v>
      </c>
      <c r="E26" s="5">
        <v>310232</v>
      </c>
      <c r="F26" s="5">
        <v>82777</v>
      </c>
      <c r="G26" s="5">
        <f>1058841+393975</f>
        <v>1452816</v>
      </c>
      <c r="H26" s="5">
        <f t="shared" si="8"/>
        <v>5427.896174863388</v>
      </c>
      <c r="I26" s="5">
        <f t="shared" si="9"/>
        <v>180600.9090909091</v>
      </c>
      <c r="J26" s="5">
        <f t="shared" si="10"/>
        <v>847.6284153005464</v>
      </c>
      <c r="K26" s="5">
        <f t="shared" si="11"/>
        <v>28202.909090909092</v>
      </c>
      <c r="L26" s="5">
        <f t="shared" si="12"/>
        <v>226.16666666666666</v>
      </c>
      <c r="M26" s="5">
        <f t="shared" si="13"/>
        <v>7525.181818181818</v>
      </c>
      <c r="N26" s="5">
        <f t="shared" si="14"/>
        <v>3969.44262295082</v>
      </c>
      <c r="O26" s="6">
        <f t="shared" si="15"/>
        <v>132074.18181818182</v>
      </c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5">
      <c r="A27" s="56" t="s">
        <v>74</v>
      </c>
      <c r="B27" s="5">
        <v>254</v>
      </c>
      <c r="C27" s="5">
        <v>11</v>
      </c>
      <c r="D27" s="5">
        <v>1756205</v>
      </c>
      <c r="E27" s="5">
        <v>294240</v>
      </c>
      <c r="F27" s="5">
        <v>82617</v>
      </c>
      <c r="G27" s="5">
        <f>981855+355288</f>
        <v>1337143</v>
      </c>
      <c r="H27" s="5">
        <f t="shared" si="8"/>
        <v>6914.192913385827</v>
      </c>
      <c r="I27" s="5">
        <f t="shared" si="9"/>
        <v>159655</v>
      </c>
      <c r="J27" s="5">
        <f t="shared" si="10"/>
        <v>1158.4251968503936</v>
      </c>
      <c r="K27" s="5">
        <f t="shared" si="11"/>
        <v>26749.090909090908</v>
      </c>
      <c r="L27" s="5">
        <f t="shared" si="12"/>
        <v>325.26377952755905</v>
      </c>
      <c r="M27" s="5">
        <f t="shared" si="13"/>
        <v>7510.636363636364</v>
      </c>
      <c r="N27" s="5">
        <f t="shared" si="14"/>
        <v>5264.342519685039</v>
      </c>
      <c r="O27" s="6">
        <f t="shared" si="15"/>
        <v>121558.45454545454</v>
      </c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5">
      <c r="A28" s="56" t="s">
        <v>75</v>
      </c>
      <c r="B28" s="5">
        <v>301</v>
      </c>
      <c r="C28" s="5">
        <v>11</v>
      </c>
      <c r="D28" s="5">
        <v>1950784</v>
      </c>
      <c r="E28" s="5">
        <v>403649</v>
      </c>
      <c r="F28" s="5">
        <v>84938</v>
      </c>
      <c r="G28" s="5">
        <f>1021285+378415</f>
        <v>1399700</v>
      </c>
      <c r="H28" s="5">
        <f t="shared" si="8"/>
        <v>6481.009966777408</v>
      </c>
      <c r="I28" s="5">
        <f t="shared" si="9"/>
        <v>177344</v>
      </c>
      <c r="J28" s="5">
        <f t="shared" si="10"/>
        <v>1341.0265780730897</v>
      </c>
      <c r="K28" s="5">
        <f t="shared" si="11"/>
        <v>36695.36363636364</v>
      </c>
      <c r="L28" s="5">
        <f t="shared" si="12"/>
        <v>282.1860465116279</v>
      </c>
      <c r="M28" s="5">
        <f t="shared" si="13"/>
        <v>7721.636363636364</v>
      </c>
      <c r="N28" s="5">
        <f t="shared" si="14"/>
        <v>4650.166112956811</v>
      </c>
      <c r="O28" s="6">
        <f t="shared" si="15"/>
        <v>127245.45454545454</v>
      </c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5">
      <c r="A29" s="56" t="s">
        <v>76</v>
      </c>
      <c r="B29" s="5">
        <v>275</v>
      </c>
      <c r="C29" s="5">
        <v>11</v>
      </c>
      <c r="D29" s="5">
        <v>2115438</v>
      </c>
      <c r="E29" s="5">
        <v>373046</v>
      </c>
      <c r="F29" s="5">
        <v>69871</v>
      </c>
      <c r="G29" s="5">
        <f>1152725+415655</f>
        <v>1568380</v>
      </c>
      <c r="H29" s="5">
        <f t="shared" si="8"/>
        <v>7692.501818181819</v>
      </c>
      <c r="I29" s="5">
        <f t="shared" si="9"/>
        <v>192312.54545454544</v>
      </c>
      <c r="J29" s="5">
        <f t="shared" si="10"/>
        <v>1356.530909090909</v>
      </c>
      <c r="K29" s="5">
        <f t="shared" si="11"/>
        <v>33913.27272727273</v>
      </c>
      <c r="L29" s="5">
        <f t="shared" si="12"/>
        <v>254.07636363636362</v>
      </c>
      <c r="M29" s="5">
        <f t="shared" si="13"/>
        <v>6351.909090909091</v>
      </c>
      <c r="N29" s="5">
        <f t="shared" si="14"/>
        <v>5703.2</v>
      </c>
      <c r="O29" s="6">
        <f t="shared" si="15"/>
        <v>142580</v>
      </c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5">
      <c r="A30" s="56" t="s">
        <v>77</v>
      </c>
      <c r="B30" s="5">
        <v>340</v>
      </c>
      <c r="C30" s="5">
        <v>11</v>
      </c>
      <c r="D30" s="5">
        <v>2073666</v>
      </c>
      <c r="E30" s="5">
        <v>468560</v>
      </c>
      <c r="F30" s="5">
        <v>87257</v>
      </c>
      <c r="G30" s="5">
        <f>1029300+377135</f>
        <v>1406435</v>
      </c>
      <c r="H30" s="5">
        <f t="shared" si="8"/>
        <v>6099.017647058824</v>
      </c>
      <c r="I30" s="5">
        <f t="shared" si="9"/>
        <v>188515.0909090909</v>
      </c>
      <c r="J30" s="5">
        <f t="shared" si="10"/>
        <v>1378.1176470588234</v>
      </c>
      <c r="K30" s="5">
        <f t="shared" si="11"/>
        <v>42596.36363636364</v>
      </c>
      <c r="L30" s="5">
        <f t="shared" si="12"/>
        <v>256.63823529411764</v>
      </c>
      <c r="M30" s="5">
        <f t="shared" si="13"/>
        <v>7932.454545454545</v>
      </c>
      <c r="N30" s="5">
        <f t="shared" si="14"/>
        <v>4136.573529411765</v>
      </c>
      <c r="O30" s="6">
        <f t="shared" si="15"/>
        <v>127857.72727272728</v>
      </c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5">
      <c r="A31" s="56" t="s">
        <v>78</v>
      </c>
      <c r="B31" s="5">
        <v>175</v>
      </c>
      <c r="C31" s="5">
        <v>7</v>
      </c>
      <c r="D31" s="5">
        <v>1375450</v>
      </c>
      <c r="E31" s="5">
        <v>342869</v>
      </c>
      <c r="F31" s="5">
        <v>71408</v>
      </c>
      <c r="G31" s="5">
        <f>663027+241255</f>
        <v>904282</v>
      </c>
      <c r="H31" s="5">
        <f t="shared" si="8"/>
        <v>7859.714285714285</v>
      </c>
      <c r="I31" s="5">
        <f t="shared" si="9"/>
        <v>196492.85714285713</v>
      </c>
      <c r="J31" s="5">
        <f t="shared" si="10"/>
        <v>1959.2514285714285</v>
      </c>
      <c r="K31" s="5">
        <f t="shared" si="11"/>
        <v>48981.28571428572</v>
      </c>
      <c r="L31" s="5">
        <f t="shared" si="12"/>
        <v>408.04571428571427</v>
      </c>
      <c r="M31" s="5">
        <f t="shared" si="13"/>
        <v>10201.142857142857</v>
      </c>
      <c r="N31" s="5">
        <f t="shared" si="14"/>
        <v>5167.325714285715</v>
      </c>
      <c r="O31" s="6">
        <f t="shared" si="15"/>
        <v>129183.14285714286</v>
      </c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5">
      <c r="A32" s="56" t="s">
        <v>79</v>
      </c>
      <c r="B32" s="5">
        <v>313</v>
      </c>
      <c r="C32" s="5">
        <v>12</v>
      </c>
      <c r="D32" s="5">
        <v>3715323</v>
      </c>
      <c r="E32" s="5">
        <v>486071</v>
      </c>
      <c r="F32" s="5">
        <v>122067</v>
      </c>
      <c r="G32" s="5">
        <f>1752736+641316</f>
        <v>2394052</v>
      </c>
      <c r="H32" s="5">
        <f t="shared" si="8"/>
        <v>11870.041533546326</v>
      </c>
      <c r="I32" s="5">
        <f t="shared" si="9"/>
        <v>309610.25</v>
      </c>
      <c r="J32" s="5">
        <f t="shared" si="10"/>
        <v>1552.9424920127794</v>
      </c>
      <c r="K32" s="5">
        <f t="shared" si="11"/>
        <v>40505.916666666664</v>
      </c>
      <c r="L32" s="5">
        <f t="shared" si="12"/>
        <v>389.99041533546324</v>
      </c>
      <c r="M32" s="5">
        <f t="shared" si="13"/>
        <v>10172.25</v>
      </c>
      <c r="N32" s="5">
        <f t="shared" si="14"/>
        <v>7648.728434504792</v>
      </c>
      <c r="O32" s="6">
        <f t="shared" si="15"/>
        <v>199504.33333333334</v>
      </c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5">
      <c r="A33" s="56" t="s">
        <v>80</v>
      </c>
      <c r="B33" s="5">
        <v>306</v>
      </c>
      <c r="C33" s="5">
        <v>11</v>
      </c>
      <c r="D33" s="5">
        <v>1949690</v>
      </c>
      <c r="E33" s="5">
        <v>390371</v>
      </c>
      <c r="F33" s="5">
        <v>85877</v>
      </c>
      <c r="G33" s="5">
        <f>1038881+384108</f>
        <v>1422989</v>
      </c>
      <c r="H33" s="5">
        <f t="shared" si="8"/>
        <v>6371.535947712418</v>
      </c>
      <c r="I33" s="5">
        <f t="shared" si="9"/>
        <v>177244.54545454544</v>
      </c>
      <c r="J33" s="5">
        <f t="shared" si="10"/>
        <v>1275.7222222222222</v>
      </c>
      <c r="K33" s="5">
        <f t="shared" si="11"/>
        <v>35488.27272727273</v>
      </c>
      <c r="L33" s="5">
        <f t="shared" si="12"/>
        <v>280.6437908496732</v>
      </c>
      <c r="M33" s="5">
        <f t="shared" si="13"/>
        <v>7807</v>
      </c>
      <c r="N33" s="5">
        <f t="shared" si="14"/>
        <v>4650.2908496732025</v>
      </c>
      <c r="O33" s="6">
        <f t="shared" si="15"/>
        <v>129362.63636363637</v>
      </c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5">
      <c r="A34" s="56" t="s">
        <v>81</v>
      </c>
      <c r="B34" s="5">
        <v>313</v>
      </c>
      <c r="C34" s="5">
        <v>11</v>
      </c>
      <c r="D34" s="5">
        <v>2089607</v>
      </c>
      <c r="E34" s="5">
        <v>398453</v>
      </c>
      <c r="F34" s="5">
        <v>70927</v>
      </c>
      <c r="G34" s="5">
        <f>1109990+392248+2999</f>
        <v>1505237</v>
      </c>
      <c r="H34" s="5">
        <f t="shared" si="8"/>
        <v>6676.060702875399</v>
      </c>
      <c r="I34" s="5">
        <f t="shared" si="9"/>
        <v>189964.27272727274</v>
      </c>
      <c r="J34" s="5">
        <f t="shared" si="10"/>
        <v>1273.0127795527158</v>
      </c>
      <c r="K34" s="5">
        <f t="shared" si="11"/>
        <v>36223</v>
      </c>
      <c r="L34" s="5">
        <f t="shared" si="12"/>
        <v>226.6038338658147</v>
      </c>
      <c r="M34" s="5">
        <f t="shared" si="13"/>
        <v>6447.909090909091</v>
      </c>
      <c r="N34" s="5">
        <f t="shared" si="14"/>
        <v>4809.063897763578</v>
      </c>
      <c r="O34" s="6">
        <f t="shared" si="15"/>
        <v>136839.72727272726</v>
      </c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5">
      <c r="A35" s="56" t="s">
        <v>82</v>
      </c>
      <c r="B35" s="5">
        <v>267</v>
      </c>
      <c r="C35" s="5">
        <v>12</v>
      </c>
      <c r="D35" s="5">
        <v>2063102</v>
      </c>
      <c r="E35" s="5">
        <v>414556</v>
      </c>
      <c r="F35" s="5">
        <v>81309</v>
      </c>
      <c r="G35" s="5">
        <f>1099908+410043</f>
        <v>1509951</v>
      </c>
      <c r="H35" s="5">
        <f t="shared" si="8"/>
        <v>7726.973782771535</v>
      </c>
      <c r="I35" s="5">
        <f t="shared" si="9"/>
        <v>171925.16666666666</v>
      </c>
      <c r="J35" s="5">
        <f t="shared" si="10"/>
        <v>1552.6441947565543</v>
      </c>
      <c r="K35" s="5">
        <f t="shared" si="11"/>
        <v>34546.333333333336</v>
      </c>
      <c r="L35" s="5">
        <f t="shared" si="12"/>
        <v>304.5280898876405</v>
      </c>
      <c r="M35" s="5">
        <f t="shared" si="13"/>
        <v>6775.75</v>
      </c>
      <c r="N35" s="5">
        <f t="shared" si="14"/>
        <v>5655.247191011236</v>
      </c>
      <c r="O35" s="6">
        <f t="shared" si="15"/>
        <v>125829.25</v>
      </c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5">
      <c r="A36" s="56" t="s">
        <v>83</v>
      </c>
      <c r="B36" s="5">
        <v>265</v>
      </c>
      <c r="C36" s="5">
        <v>11</v>
      </c>
      <c r="D36" s="5">
        <v>2063645</v>
      </c>
      <c r="E36" s="5">
        <v>395742</v>
      </c>
      <c r="F36" s="5">
        <v>62880</v>
      </c>
      <c r="G36" s="5">
        <f>1088997+405922</f>
        <v>1494919</v>
      </c>
      <c r="H36" s="5">
        <f t="shared" si="8"/>
        <v>7787.33962264151</v>
      </c>
      <c r="I36" s="5">
        <f t="shared" si="9"/>
        <v>187604.0909090909</v>
      </c>
      <c r="J36" s="5">
        <f t="shared" si="10"/>
        <v>1493.366037735849</v>
      </c>
      <c r="K36" s="5">
        <f t="shared" si="11"/>
        <v>35976.545454545456</v>
      </c>
      <c r="L36" s="5">
        <f t="shared" si="12"/>
        <v>237.28301886792454</v>
      </c>
      <c r="M36" s="5">
        <f t="shared" si="13"/>
        <v>5716.363636363636</v>
      </c>
      <c r="N36" s="5">
        <f t="shared" si="14"/>
        <v>5641.203773584905</v>
      </c>
      <c r="O36" s="6">
        <f t="shared" si="15"/>
        <v>135901.72727272726</v>
      </c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5.75" thickBot="1">
      <c r="A37" s="57" t="s">
        <v>84</v>
      </c>
      <c r="B37" s="12">
        <v>271</v>
      </c>
      <c r="C37" s="12">
        <v>11</v>
      </c>
      <c r="D37" s="12">
        <v>2064642</v>
      </c>
      <c r="E37" s="12">
        <v>383504</v>
      </c>
      <c r="F37" s="12">
        <v>47346</v>
      </c>
      <c r="G37" s="12">
        <f>1160359+415747</f>
        <v>1576106</v>
      </c>
      <c r="H37" s="12">
        <f t="shared" si="8"/>
        <v>7618.6051660516605</v>
      </c>
      <c r="I37" s="12">
        <f t="shared" si="9"/>
        <v>187694.72727272726</v>
      </c>
      <c r="J37" s="12">
        <f t="shared" si="10"/>
        <v>1415.1439114391144</v>
      </c>
      <c r="K37" s="12">
        <f t="shared" si="11"/>
        <v>34864</v>
      </c>
      <c r="L37" s="12">
        <f t="shared" si="12"/>
        <v>174.70848708487085</v>
      </c>
      <c r="M37" s="12">
        <f t="shared" si="13"/>
        <v>4304.181818181818</v>
      </c>
      <c r="N37" s="12">
        <f t="shared" si="14"/>
        <v>5815.889298892989</v>
      </c>
      <c r="O37" s="13">
        <f t="shared" si="15"/>
        <v>143282.36363636365</v>
      </c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5.75" thickBot="1">
      <c r="A38" s="58" t="s">
        <v>44</v>
      </c>
      <c r="B38" s="14">
        <f aca="true" t="shared" si="16" ref="B38:G38">SUM(B6:B37)</f>
        <v>7171</v>
      </c>
      <c r="C38" s="14">
        <f t="shared" si="16"/>
        <v>287</v>
      </c>
      <c r="D38" s="14">
        <f t="shared" si="16"/>
        <v>54274939</v>
      </c>
      <c r="E38" s="14">
        <f t="shared" si="16"/>
        <v>9464281</v>
      </c>
      <c r="F38" s="14">
        <f t="shared" si="16"/>
        <v>2331108</v>
      </c>
      <c r="G38" s="14">
        <f t="shared" si="16"/>
        <v>40279358</v>
      </c>
      <c r="H38" s="14">
        <f t="shared" si="8"/>
        <v>7568.670896667131</v>
      </c>
      <c r="I38" s="14">
        <f t="shared" si="9"/>
        <v>189111.2857142857</v>
      </c>
      <c r="J38" s="14">
        <f t="shared" si="10"/>
        <v>1319.7993306372891</v>
      </c>
      <c r="K38" s="14">
        <f t="shared" si="11"/>
        <v>32976.588850174216</v>
      </c>
      <c r="L38" s="14">
        <f t="shared" si="12"/>
        <v>325.074327151025</v>
      </c>
      <c r="M38" s="14">
        <f t="shared" si="13"/>
        <v>8122.327526132404</v>
      </c>
      <c r="N38" s="14">
        <f t="shared" si="14"/>
        <v>5616.979221865849</v>
      </c>
      <c r="O38" s="14">
        <f t="shared" si="15"/>
        <v>140346.19512195123</v>
      </c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5">
      <c r="A39" s="59" t="s">
        <v>85</v>
      </c>
      <c r="B39" s="20">
        <v>308</v>
      </c>
      <c r="C39" s="20">
        <v>13</v>
      </c>
      <c r="D39" s="20">
        <v>2263077</v>
      </c>
      <c r="E39" s="20">
        <v>410640</v>
      </c>
      <c r="F39" s="20">
        <v>74475</v>
      </c>
      <c r="G39" s="20">
        <v>1625806</v>
      </c>
      <c r="H39" s="20">
        <f t="shared" si="8"/>
        <v>7347.652597402597</v>
      </c>
      <c r="I39" s="20">
        <f t="shared" si="9"/>
        <v>174082.84615384616</v>
      </c>
      <c r="J39" s="20">
        <f t="shared" si="10"/>
        <v>1333.2467532467533</v>
      </c>
      <c r="K39" s="20">
        <f t="shared" si="11"/>
        <v>31587.69230769231</v>
      </c>
      <c r="L39" s="20">
        <f t="shared" si="12"/>
        <v>241.80194805194805</v>
      </c>
      <c r="M39" s="20">
        <f t="shared" si="13"/>
        <v>5728.846153846154</v>
      </c>
      <c r="N39" s="20">
        <f t="shared" si="14"/>
        <v>5278.590909090909</v>
      </c>
      <c r="O39" s="24">
        <f t="shared" si="15"/>
        <v>125062</v>
      </c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5">
      <c r="A40" s="56" t="s">
        <v>86</v>
      </c>
      <c r="B40" s="5">
        <v>358</v>
      </c>
      <c r="C40" s="5">
        <v>13</v>
      </c>
      <c r="D40" s="5">
        <v>2473956</v>
      </c>
      <c r="E40" s="5">
        <v>297614</v>
      </c>
      <c r="F40" s="5">
        <v>50008</v>
      </c>
      <c r="G40" s="5">
        <v>1914692</v>
      </c>
      <c r="H40" s="5">
        <f t="shared" si="8"/>
        <v>6910.491620111732</v>
      </c>
      <c r="I40" s="5">
        <f t="shared" si="9"/>
        <v>190304.3076923077</v>
      </c>
      <c r="J40" s="5">
        <f t="shared" si="10"/>
        <v>831.3240223463687</v>
      </c>
      <c r="K40" s="5">
        <f t="shared" si="11"/>
        <v>22893.384615384617</v>
      </c>
      <c r="L40" s="5">
        <f t="shared" si="12"/>
        <v>139.68715083798884</v>
      </c>
      <c r="M40" s="5">
        <f t="shared" si="13"/>
        <v>3846.769230769231</v>
      </c>
      <c r="N40" s="5">
        <f t="shared" si="14"/>
        <v>5348.301675977654</v>
      </c>
      <c r="O40" s="6">
        <f t="shared" si="15"/>
        <v>147284</v>
      </c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5">
      <c r="A41" s="56" t="s">
        <v>87</v>
      </c>
      <c r="B41" s="5">
        <v>266</v>
      </c>
      <c r="C41" s="5">
        <v>12</v>
      </c>
      <c r="D41" s="5">
        <v>2567034</v>
      </c>
      <c r="E41" s="5">
        <v>440763</v>
      </c>
      <c r="F41" s="5">
        <v>90931</v>
      </c>
      <c r="G41" s="5">
        <v>1946541</v>
      </c>
      <c r="H41" s="5">
        <f t="shared" si="8"/>
        <v>9650.503759398496</v>
      </c>
      <c r="I41" s="5">
        <f t="shared" si="9"/>
        <v>213919.5</v>
      </c>
      <c r="J41" s="5">
        <f t="shared" si="10"/>
        <v>1657.0037593984962</v>
      </c>
      <c r="K41" s="5">
        <f t="shared" si="11"/>
        <v>36730.25</v>
      </c>
      <c r="L41" s="5">
        <f t="shared" si="12"/>
        <v>341.84586466165416</v>
      </c>
      <c r="M41" s="5">
        <f t="shared" si="13"/>
        <v>7577.583333333333</v>
      </c>
      <c r="N41" s="5">
        <f t="shared" si="14"/>
        <v>7317.8233082706765</v>
      </c>
      <c r="O41" s="6">
        <f t="shared" si="15"/>
        <v>162211.75</v>
      </c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5.75" thickBot="1">
      <c r="A42" s="57" t="s">
        <v>88</v>
      </c>
      <c r="B42" s="12">
        <v>245</v>
      </c>
      <c r="C42" s="12">
        <v>12</v>
      </c>
      <c r="D42" s="12">
        <v>2421984</v>
      </c>
      <c r="E42" s="12">
        <v>299635</v>
      </c>
      <c r="F42" s="12">
        <v>57277</v>
      </c>
      <c r="G42" s="12">
        <v>1896676</v>
      </c>
      <c r="H42" s="12">
        <f t="shared" si="8"/>
        <v>9885.648979591837</v>
      </c>
      <c r="I42" s="12">
        <f t="shared" si="9"/>
        <v>201832</v>
      </c>
      <c r="J42" s="12">
        <f t="shared" si="10"/>
        <v>1223</v>
      </c>
      <c r="K42" s="12">
        <f t="shared" si="11"/>
        <v>24969.583333333332</v>
      </c>
      <c r="L42" s="12">
        <f t="shared" si="12"/>
        <v>233.78367346938776</v>
      </c>
      <c r="M42" s="12">
        <f t="shared" si="13"/>
        <v>4773.083333333333</v>
      </c>
      <c r="N42" s="12">
        <f t="shared" si="14"/>
        <v>7741.534693877551</v>
      </c>
      <c r="O42" s="13">
        <f t="shared" si="15"/>
        <v>158056.33333333334</v>
      </c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5.75" thickBot="1">
      <c r="A43" s="58" t="s">
        <v>44</v>
      </c>
      <c r="B43" s="14">
        <f aca="true" t="shared" si="17" ref="B43:G43">SUM(B39:B42)</f>
        <v>1177</v>
      </c>
      <c r="C43" s="14">
        <f t="shared" si="17"/>
        <v>50</v>
      </c>
      <c r="D43" s="14">
        <f t="shared" si="17"/>
        <v>9726051</v>
      </c>
      <c r="E43" s="14">
        <f t="shared" si="17"/>
        <v>1448652</v>
      </c>
      <c r="F43" s="14">
        <f t="shared" si="17"/>
        <v>272691</v>
      </c>
      <c r="G43" s="14">
        <f t="shared" si="17"/>
        <v>7383715</v>
      </c>
      <c r="H43" s="14">
        <f t="shared" si="8"/>
        <v>8263.424808836024</v>
      </c>
      <c r="I43" s="14">
        <f t="shared" si="9"/>
        <v>194521.02</v>
      </c>
      <c r="J43" s="14">
        <f t="shared" si="10"/>
        <v>1230.800339847069</v>
      </c>
      <c r="K43" s="14">
        <f t="shared" si="11"/>
        <v>28973.04</v>
      </c>
      <c r="L43" s="14">
        <f t="shared" si="12"/>
        <v>231.68309260832626</v>
      </c>
      <c r="M43" s="14">
        <f t="shared" si="13"/>
        <v>5453.82</v>
      </c>
      <c r="N43" s="60">
        <f t="shared" si="14"/>
        <v>6273.334749362787</v>
      </c>
      <c r="O43" s="14">
        <f t="shared" si="15"/>
        <v>147674.3</v>
      </c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5.75" thickBot="1">
      <c r="A44" s="58" t="s">
        <v>89</v>
      </c>
      <c r="B44" s="14">
        <f aca="true" t="shared" si="18" ref="B44:G44">B38+B43</f>
        <v>8348</v>
      </c>
      <c r="C44" s="14">
        <f t="shared" si="18"/>
        <v>337</v>
      </c>
      <c r="D44" s="14">
        <f t="shared" si="18"/>
        <v>64000990</v>
      </c>
      <c r="E44" s="14">
        <f t="shared" si="18"/>
        <v>10912933</v>
      </c>
      <c r="F44" s="14">
        <f t="shared" si="18"/>
        <v>2603799</v>
      </c>
      <c r="G44" s="14">
        <f t="shared" si="18"/>
        <v>47663073</v>
      </c>
      <c r="H44" s="14">
        <f t="shared" si="8"/>
        <v>7666.62553905127</v>
      </c>
      <c r="I44" s="14">
        <f t="shared" si="9"/>
        <v>189913.9169139466</v>
      </c>
      <c r="J44" s="14">
        <f t="shared" si="10"/>
        <v>1307.2511978917105</v>
      </c>
      <c r="K44" s="14">
        <f t="shared" si="11"/>
        <v>32382.59050445104</v>
      </c>
      <c r="L44" s="23">
        <f t="shared" si="12"/>
        <v>311.9069238140872</v>
      </c>
      <c r="M44" s="23">
        <f t="shared" si="13"/>
        <v>7726.406528189911</v>
      </c>
      <c r="N44" s="61">
        <f t="shared" si="14"/>
        <v>5709.520004791567</v>
      </c>
      <c r="O44" s="14">
        <f t="shared" si="15"/>
        <v>141433.45103857567</v>
      </c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15" ht="15">
      <c r="A47" s="35"/>
      <c r="B47" s="17" t="s">
        <v>92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5">
      <c r="A48" s="35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5">
      <c r="A49" s="35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5">
      <c r="A50" s="35"/>
      <c r="B50" s="17"/>
      <c r="C50" s="17"/>
      <c r="D50" s="17"/>
      <c r="E50" s="17"/>
      <c r="F50" s="17"/>
      <c r="G50" s="37"/>
      <c r="H50" s="37"/>
      <c r="I50" s="37"/>
      <c r="J50" s="37"/>
      <c r="K50" s="17"/>
      <c r="L50" s="17"/>
      <c r="M50" s="17"/>
      <c r="N50" s="17"/>
      <c r="O50" s="17"/>
    </row>
    <row r="51" spans="1:15" ht="15">
      <c r="A51" s="35"/>
      <c r="B51" s="17"/>
      <c r="C51" s="17"/>
      <c r="D51" s="17"/>
      <c r="E51" s="17"/>
      <c r="F51" s="17"/>
      <c r="G51" s="37"/>
      <c r="H51" s="37"/>
      <c r="I51" s="37"/>
      <c r="J51" s="37"/>
      <c r="K51" s="17"/>
      <c r="L51" s="17"/>
      <c r="M51" s="17"/>
      <c r="N51" s="17"/>
      <c r="O51" s="17"/>
    </row>
    <row r="52" spans="1:15" ht="15">
      <c r="A52" s="29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5">
      <c r="A53" s="29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2:15" ht="1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2:15" ht="1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2:15" ht="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2:15" ht="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2:15" ht="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</sheetData>
  <mergeCells count="16">
    <mergeCell ref="G4:G5"/>
    <mergeCell ref="N4:O4"/>
    <mergeCell ref="H4:H5"/>
    <mergeCell ref="I4:I5"/>
    <mergeCell ref="J4:K4"/>
    <mergeCell ref="L4:M4"/>
    <mergeCell ref="J3:O3"/>
    <mergeCell ref="H3:I3"/>
    <mergeCell ref="C1:L2"/>
    <mergeCell ref="A3:A5"/>
    <mergeCell ref="B3:B5"/>
    <mergeCell ref="C3:C5"/>
    <mergeCell ref="D3:D5"/>
    <mergeCell ref="E3:G3"/>
    <mergeCell ref="E4:E5"/>
    <mergeCell ref="F4:F5"/>
  </mergeCells>
  <printOptions/>
  <pageMargins left="0.41" right="0.29" top="0.3" bottom="0.23" header="0.29" footer="0.21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GQ826"/>
  <sheetViews>
    <sheetView view="pageBreakPreview" zoomScaleSheetLayoutView="100" workbookViewId="0" topLeftCell="A37">
      <selection activeCell="F46" sqref="F46"/>
    </sheetView>
  </sheetViews>
  <sheetFormatPr defaultColWidth="9.00390625" defaultRowHeight="12.75"/>
  <cols>
    <col min="1" max="1" width="17.00390625" style="1" customWidth="1"/>
    <col min="2" max="2" width="12.75390625" style="1" customWidth="1"/>
    <col min="3" max="3" width="10.75390625" style="1" customWidth="1"/>
    <col min="4" max="4" width="14.875" style="1" customWidth="1"/>
    <col min="5" max="5" width="13.25390625" style="1" customWidth="1"/>
    <col min="6" max="6" width="10.375" style="1" customWidth="1"/>
    <col min="7" max="7" width="12.375" style="1" customWidth="1"/>
    <col min="8" max="8" width="10.625" style="1" customWidth="1"/>
    <col min="9" max="9" width="10.125" style="1" customWidth="1"/>
    <col min="10" max="10" width="9.375" style="1" customWidth="1"/>
    <col min="11" max="11" width="9.25390625" style="1" customWidth="1"/>
    <col min="12" max="12" width="8.875" style="1" customWidth="1"/>
    <col min="13" max="13" width="9.25390625" style="1" customWidth="1"/>
    <col min="14" max="14" width="9.375" style="1" customWidth="1"/>
    <col min="15" max="15" width="8.75390625" style="1" customWidth="1"/>
    <col min="16" max="22" width="9.125" style="1" customWidth="1"/>
    <col min="23" max="23" width="10.75390625" style="1" customWidth="1"/>
    <col min="24" max="16384" width="9.125" style="1" customWidth="1"/>
  </cols>
  <sheetData>
    <row r="1" spans="3:12" ht="12" customHeight="1">
      <c r="C1" s="91" t="s">
        <v>101</v>
      </c>
      <c r="D1" s="91"/>
      <c r="E1" s="91"/>
      <c r="F1" s="91"/>
      <c r="G1" s="91"/>
      <c r="H1" s="91"/>
      <c r="I1" s="91"/>
      <c r="J1" s="91"/>
      <c r="K1" s="91"/>
      <c r="L1" s="91"/>
    </row>
    <row r="2" spans="3:15" ht="12.75" customHeight="1">
      <c r="C2" s="92"/>
      <c r="D2" s="92"/>
      <c r="E2" s="92"/>
      <c r="F2" s="92"/>
      <c r="G2" s="92"/>
      <c r="H2" s="92"/>
      <c r="I2" s="92"/>
      <c r="J2" s="92"/>
      <c r="K2" s="92"/>
      <c r="L2" s="92"/>
      <c r="O2" s="1" t="s">
        <v>43</v>
      </c>
    </row>
    <row r="3" spans="1:15" ht="12.75" customHeight="1">
      <c r="A3" s="93" t="s">
        <v>34</v>
      </c>
      <c r="B3" s="93" t="s">
        <v>102</v>
      </c>
      <c r="C3" s="93" t="s">
        <v>103</v>
      </c>
      <c r="D3" s="93" t="s">
        <v>111</v>
      </c>
      <c r="E3" s="93" t="s">
        <v>35</v>
      </c>
      <c r="F3" s="93"/>
      <c r="G3" s="93"/>
      <c r="H3" s="93" t="s">
        <v>113</v>
      </c>
      <c r="I3" s="93"/>
      <c r="J3" s="93" t="s">
        <v>35</v>
      </c>
      <c r="K3" s="93"/>
      <c r="L3" s="93"/>
      <c r="M3" s="93"/>
      <c r="N3" s="93"/>
      <c r="O3" s="93"/>
    </row>
    <row r="4" spans="1:15" ht="25.5" customHeight="1">
      <c r="A4" s="93"/>
      <c r="B4" s="93"/>
      <c r="C4" s="93"/>
      <c r="D4" s="93"/>
      <c r="E4" s="93"/>
      <c r="F4" s="93"/>
      <c r="G4" s="93"/>
      <c r="H4" s="93"/>
      <c r="I4" s="93"/>
      <c r="J4" s="93">
        <v>1160</v>
      </c>
      <c r="K4" s="93"/>
      <c r="L4" s="108">
        <v>1163</v>
      </c>
      <c r="M4" s="108"/>
      <c r="N4" s="93" t="s">
        <v>110</v>
      </c>
      <c r="O4" s="93"/>
    </row>
    <row r="5" spans="1:15" ht="48" customHeight="1">
      <c r="A5" s="93"/>
      <c r="B5" s="93"/>
      <c r="C5" s="93"/>
      <c r="D5" s="93"/>
      <c r="E5" s="93" t="s">
        <v>107</v>
      </c>
      <c r="F5" s="93" t="s">
        <v>108</v>
      </c>
      <c r="G5" s="93" t="s">
        <v>110</v>
      </c>
      <c r="H5" s="93" t="s">
        <v>37</v>
      </c>
      <c r="I5" s="93" t="s">
        <v>36</v>
      </c>
      <c r="J5" s="93"/>
      <c r="K5" s="93"/>
      <c r="L5" s="108"/>
      <c r="M5" s="108"/>
      <c r="N5" s="93"/>
      <c r="O5" s="93"/>
    </row>
    <row r="6" spans="1:15" ht="38.25" customHeight="1">
      <c r="A6" s="93"/>
      <c r="B6" s="93"/>
      <c r="C6" s="93"/>
      <c r="D6" s="93"/>
      <c r="E6" s="93"/>
      <c r="F6" s="93"/>
      <c r="G6" s="93"/>
      <c r="H6" s="93"/>
      <c r="I6" s="93"/>
      <c r="J6" s="2" t="s">
        <v>37</v>
      </c>
      <c r="K6" s="2" t="s">
        <v>38</v>
      </c>
      <c r="L6" s="38" t="s">
        <v>37</v>
      </c>
      <c r="M6" s="2" t="s">
        <v>38</v>
      </c>
      <c r="N6" s="2" t="s">
        <v>37</v>
      </c>
      <c r="O6" s="2" t="s">
        <v>38</v>
      </c>
    </row>
    <row r="7" spans="1:199" ht="15">
      <c r="A7" s="4" t="s">
        <v>0</v>
      </c>
      <c r="B7" s="2">
        <v>701</v>
      </c>
      <c r="C7" s="2">
        <v>28</v>
      </c>
      <c r="D7" s="5">
        <v>3145623</v>
      </c>
      <c r="E7" s="5">
        <v>834117</v>
      </c>
      <c r="F7" s="55">
        <v>44914</v>
      </c>
      <c r="G7" s="5">
        <v>2253608</v>
      </c>
      <c r="H7" s="5">
        <f aca="true" t="shared" si="0" ref="H7:H46">D7/B7</f>
        <v>4487.336661911555</v>
      </c>
      <c r="I7" s="5">
        <f aca="true" t="shared" si="1" ref="I7:I46">D7/C7</f>
        <v>112343.67857142857</v>
      </c>
      <c r="J7" s="5">
        <f aca="true" t="shared" si="2" ref="J7:J46">E7/B7</f>
        <v>1189.8958630527818</v>
      </c>
      <c r="K7" s="5">
        <f aca="true" t="shared" si="3" ref="K7:K46">E7/C7</f>
        <v>29789.89285714286</v>
      </c>
      <c r="L7" s="5">
        <f aca="true" t="shared" si="4" ref="L7:L46">F7/B7</f>
        <v>64.0713266761769</v>
      </c>
      <c r="M7" s="5">
        <f aca="true" t="shared" si="5" ref="M7:M46">F7/C7</f>
        <v>1604.0714285714287</v>
      </c>
      <c r="N7" s="5">
        <f aca="true" t="shared" si="6" ref="N7:N46">G7/B7</f>
        <v>3214.8473609129815</v>
      </c>
      <c r="O7" s="6">
        <f aca="true" t="shared" si="7" ref="O7:O46">G7/C7</f>
        <v>80486</v>
      </c>
      <c r="P7" s="7"/>
      <c r="Q7" s="7"/>
      <c r="R7" s="7"/>
      <c r="S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</row>
    <row r="8" spans="1:199" ht="15">
      <c r="A8" s="4" t="s">
        <v>1</v>
      </c>
      <c r="B8" s="2">
        <v>262</v>
      </c>
      <c r="C8" s="2">
        <v>11</v>
      </c>
      <c r="D8" s="5">
        <v>1166359</v>
      </c>
      <c r="E8" s="5">
        <v>180075</v>
      </c>
      <c r="F8" s="5">
        <v>28872</v>
      </c>
      <c r="G8" s="5">
        <v>951809</v>
      </c>
      <c r="H8" s="5">
        <f t="shared" si="0"/>
        <v>4451.751908396946</v>
      </c>
      <c r="I8" s="5">
        <f t="shared" si="1"/>
        <v>106032.63636363637</v>
      </c>
      <c r="J8" s="5">
        <f t="shared" si="2"/>
        <v>687.3091603053435</v>
      </c>
      <c r="K8" s="5">
        <f t="shared" si="3"/>
        <v>16370.454545454546</v>
      </c>
      <c r="L8" s="5">
        <f t="shared" si="4"/>
        <v>110.19847328244275</v>
      </c>
      <c r="M8" s="5">
        <f t="shared" si="5"/>
        <v>2624.7272727272725</v>
      </c>
      <c r="N8" s="5">
        <f t="shared" si="6"/>
        <v>3632.858778625954</v>
      </c>
      <c r="O8" s="6">
        <f t="shared" si="7"/>
        <v>86528.09090909091</v>
      </c>
      <c r="P8" s="7"/>
      <c r="Q8" s="7"/>
      <c r="R8" s="7"/>
      <c r="S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</row>
    <row r="9" spans="1:199" ht="15">
      <c r="A9" s="4" t="s">
        <v>2</v>
      </c>
      <c r="B9" s="2">
        <v>314</v>
      </c>
      <c r="C9" s="2">
        <v>14</v>
      </c>
      <c r="D9" s="5">
        <v>1447608</v>
      </c>
      <c r="E9" s="5">
        <v>143985</v>
      </c>
      <c r="F9" s="5">
        <v>19805</v>
      </c>
      <c r="G9" s="5">
        <v>1260899</v>
      </c>
      <c r="H9" s="5">
        <f t="shared" si="0"/>
        <v>4610.216560509554</v>
      </c>
      <c r="I9" s="5">
        <f t="shared" si="1"/>
        <v>103400.57142857143</v>
      </c>
      <c r="J9" s="5">
        <f t="shared" si="2"/>
        <v>458.5509554140127</v>
      </c>
      <c r="K9" s="5">
        <f t="shared" si="3"/>
        <v>10284.642857142857</v>
      </c>
      <c r="L9" s="5">
        <f t="shared" si="4"/>
        <v>63.07324840764331</v>
      </c>
      <c r="M9" s="5">
        <f t="shared" si="5"/>
        <v>1414.642857142857</v>
      </c>
      <c r="N9" s="5">
        <f t="shared" si="6"/>
        <v>4015.6019108280257</v>
      </c>
      <c r="O9" s="6">
        <f t="shared" si="7"/>
        <v>90064.21428571429</v>
      </c>
      <c r="P9" s="7"/>
      <c r="Q9" s="7"/>
      <c r="R9" s="7"/>
      <c r="S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</row>
    <row r="10" spans="1:199" ht="15">
      <c r="A10" s="4" t="s">
        <v>3</v>
      </c>
      <c r="B10" s="2">
        <v>629</v>
      </c>
      <c r="C10" s="2">
        <v>24</v>
      </c>
      <c r="D10" s="5">
        <v>2207528</v>
      </c>
      <c r="E10" s="5">
        <v>290244</v>
      </c>
      <c r="F10" s="5">
        <v>47406</v>
      </c>
      <c r="G10" s="5">
        <v>1875369</v>
      </c>
      <c r="H10" s="5">
        <f t="shared" si="0"/>
        <v>3509.58346581876</v>
      </c>
      <c r="I10" s="5">
        <f t="shared" si="1"/>
        <v>91980.33333333333</v>
      </c>
      <c r="J10" s="5">
        <f t="shared" si="2"/>
        <v>461.43720190779015</v>
      </c>
      <c r="K10" s="5">
        <f t="shared" si="3"/>
        <v>12093.5</v>
      </c>
      <c r="L10" s="5">
        <f t="shared" si="4"/>
        <v>75.36724960254372</v>
      </c>
      <c r="M10" s="5">
        <f t="shared" si="5"/>
        <v>1975.25</v>
      </c>
      <c r="N10" s="5">
        <f t="shared" si="6"/>
        <v>2981.508744038156</v>
      </c>
      <c r="O10" s="6">
        <f t="shared" si="7"/>
        <v>78140.375</v>
      </c>
      <c r="P10" s="7"/>
      <c r="Q10" s="7"/>
      <c r="R10" s="7"/>
      <c r="S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</row>
    <row r="11" spans="1:199" ht="15">
      <c r="A11" s="4" t="s">
        <v>4</v>
      </c>
      <c r="B11" s="2">
        <v>817</v>
      </c>
      <c r="C11" s="2">
        <v>33</v>
      </c>
      <c r="D11" s="5">
        <v>3602720</v>
      </c>
      <c r="E11" s="5">
        <v>468157</v>
      </c>
      <c r="F11" s="5">
        <f>42023-418</f>
        <v>41605</v>
      </c>
      <c r="G11" s="5">
        <v>3056445</v>
      </c>
      <c r="H11" s="5">
        <f t="shared" si="0"/>
        <v>4409.69400244798</v>
      </c>
      <c r="I11" s="5">
        <f t="shared" si="1"/>
        <v>109173.33333333333</v>
      </c>
      <c r="J11" s="5">
        <f t="shared" si="2"/>
        <v>573.0195838433292</v>
      </c>
      <c r="K11" s="5">
        <f t="shared" si="3"/>
        <v>14186.575757575758</v>
      </c>
      <c r="L11" s="5">
        <f t="shared" si="4"/>
        <v>50.92411260709914</v>
      </c>
      <c r="M11" s="5">
        <f t="shared" si="5"/>
        <v>1260.7575757575758</v>
      </c>
      <c r="N11" s="5">
        <f t="shared" si="6"/>
        <v>3741.0587515299876</v>
      </c>
      <c r="O11" s="6">
        <f t="shared" si="7"/>
        <v>92619.54545454546</v>
      </c>
      <c r="P11" s="7"/>
      <c r="Q11" s="7"/>
      <c r="R11" s="7"/>
      <c r="S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</row>
    <row r="12" spans="1:199" ht="15">
      <c r="A12" s="4" t="s">
        <v>5</v>
      </c>
      <c r="B12" s="2">
        <v>188</v>
      </c>
      <c r="C12" s="2">
        <v>11</v>
      </c>
      <c r="D12" s="5">
        <v>1116520</v>
      </c>
      <c r="E12" s="5">
        <v>257562</v>
      </c>
      <c r="F12" s="5">
        <v>17246</v>
      </c>
      <c r="G12" s="5">
        <v>828652</v>
      </c>
      <c r="H12" s="5">
        <f t="shared" si="0"/>
        <v>5938.936170212766</v>
      </c>
      <c r="I12" s="5">
        <f t="shared" si="1"/>
        <v>101501.81818181818</v>
      </c>
      <c r="J12" s="5">
        <f t="shared" si="2"/>
        <v>1370.0106382978724</v>
      </c>
      <c r="K12" s="5">
        <f t="shared" si="3"/>
        <v>23414.727272727272</v>
      </c>
      <c r="L12" s="5">
        <f t="shared" si="4"/>
        <v>91.73404255319149</v>
      </c>
      <c r="M12" s="5">
        <f t="shared" si="5"/>
        <v>1567.8181818181818</v>
      </c>
      <c r="N12" s="5">
        <f t="shared" si="6"/>
        <v>4407.723404255319</v>
      </c>
      <c r="O12" s="6">
        <f t="shared" si="7"/>
        <v>75332</v>
      </c>
      <c r="P12" s="7"/>
      <c r="Q12" s="7"/>
      <c r="R12" s="7"/>
      <c r="S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</row>
    <row r="13" spans="1:199" ht="15">
      <c r="A13" s="4" t="s">
        <v>6</v>
      </c>
      <c r="B13" s="2">
        <v>977</v>
      </c>
      <c r="C13" s="2">
        <v>34</v>
      </c>
      <c r="D13" s="5">
        <v>4032632</v>
      </c>
      <c r="E13" s="5">
        <v>785974</v>
      </c>
      <c r="F13" s="5">
        <v>53714</v>
      </c>
      <c r="G13" s="5">
        <v>3105298</v>
      </c>
      <c r="H13" s="5">
        <f t="shared" si="0"/>
        <v>4127.566018423746</v>
      </c>
      <c r="I13" s="5">
        <f t="shared" si="1"/>
        <v>118606.82352941176</v>
      </c>
      <c r="J13" s="5">
        <f t="shared" si="2"/>
        <v>804.4769703172979</v>
      </c>
      <c r="K13" s="5">
        <f t="shared" si="3"/>
        <v>23116.882352941175</v>
      </c>
      <c r="L13" s="5">
        <f t="shared" si="4"/>
        <v>54.97850562947799</v>
      </c>
      <c r="M13" s="5">
        <f t="shared" si="5"/>
        <v>1579.8235294117646</v>
      </c>
      <c r="N13" s="5">
        <f t="shared" si="6"/>
        <v>3178.4012282497442</v>
      </c>
      <c r="O13" s="6">
        <f t="shared" si="7"/>
        <v>91332.29411764706</v>
      </c>
      <c r="P13" s="7"/>
      <c r="Q13" s="7"/>
      <c r="R13" s="7"/>
      <c r="S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</row>
    <row r="14" spans="1:199" ht="15">
      <c r="A14" s="4" t="s">
        <v>42</v>
      </c>
      <c r="B14" s="2">
        <v>706</v>
      </c>
      <c r="C14" s="2">
        <v>25</v>
      </c>
      <c r="D14" s="5">
        <v>2739000</v>
      </c>
      <c r="E14" s="5">
        <v>540911</v>
      </c>
      <c r="F14" s="5">
        <v>34102</v>
      </c>
      <c r="G14" s="5">
        <v>2190969</v>
      </c>
      <c r="H14" s="5">
        <f t="shared" si="0"/>
        <v>3879.603399433428</v>
      </c>
      <c r="I14" s="5">
        <f t="shared" si="1"/>
        <v>109560</v>
      </c>
      <c r="J14" s="5">
        <f t="shared" si="2"/>
        <v>766.1628895184136</v>
      </c>
      <c r="K14" s="5">
        <f t="shared" si="3"/>
        <v>21636.44</v>
      </c>
      <c r="L14" s="5">
        <f t="shared" si="4"/>
        <v>48.303116147308785</v>
      </c>
      <c r="M14" s="5">
        <f t="shared" si="5"/>
        <v>1364.08</v>
      </c>
      <c r="N14" s="5">
        <f t="shared" si="6"/>
        <v>3103.3555240793203</v>
      </c>
      <c r="O14" s="6">
        <f t="shared" si="7"/>
        <v>87638.76</v>
      </c>
      <c r="P14" s="7"/>
      <c r="Q14" s="7"/>
      <c r="R14" s="7"/>
      <c r="S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</row>
    <row r="15" spans="1:199" ht="15">
      <c r="A15" s="4" t="s">
        <v>7</v>
      </c>
      <c r="B15" s="2">
        <v>388</v>
      </c>
      <c r="C15" s="2">
        <v>16</v>
      </c>
      <c r="D15" s="5">
        <v>1834763</v>
      </c>
      <c r="E15" s="5">
        <v>514130</v>
      </c>
      <c r="F15" s="5">
        <v>18183</v>
      </c>
      <c r="G15" s="5">
        <v>1311482</v>
      </c>
      <c r="H15" s="5">
        <f t="shared" si="0"/>
        <v>4728.770618556701</v>
      </c>
      <c r="I15" s="5">
        <f t="shared" si="1"/>
        <v>114672.6875</v>
      </c>
      <c r="J15" s="5">
        <f t="shared" si="2"/>
        <v>1325.0773195876288</v>
      </c>
      <c r="K15" s="5">
        <f t="shared" si="3"/>
        <v>32133.125</v>
      </c>
      <c r="L15" s="5">
        <f t="shared" si="4"/>
        <v>46.86340206185567</v>
      </c>
      <c r="M15" s="5">
        <f t="shared" si="5"/>
        <v>1136.4375</v>
      </c>
      <c r="N15" s="5">
        <f t="shared" si="6"/>
        <v>3380.1082474226805</v>
      </c>
      <c r="O15" s="6">
        <f t="shared" si="7"/>
        <v>81967.625</v>
      </c>
      <c r="P15" s="7"/>
      <c r="Q15" s="7"/>
      <c r="R15" s="7"/>
      <c r="S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</row>
    <row r="16" spans="1:199" ht="15">
      <c r="A16" s="4" t="s">
        <v>40</v>
      </c>
      <c r="B16" s="2">
        <v>937</v>
      </c>
      <c r="C16" s="2">
        <v>36</v>
      </c>
      <c r="D16" s="5">
        <v>6398326</v>
      </c>
      <c r="E16" s="5">
        <v>777237</v>
      </c>
      <c r="F16" s="5">
        <v>77311</v>
      </c>
      <c r="G16" s="5">
        <v>5537210</v>
      </c>
      <c r="H16" s="5">
        <f t="shared" si="0"/>
        <v>6828.522945570971</v>
      </c>
      <c r="I16" s="5">
        <f t="shared" si="1"/>
        <v>177731.27777777778</v>
      </c>
      <c r="J16" s="5">
        <f t="shared" si="2"/>
        <v>829.4951974386339</v>
      </c>
      <c r="K16" s="5">
        <f t="shared" si="3"/>
        <v>21589.916666666668</v>
      </c>
      <c r="L16" s="5">
        <f t="shared" si="4"/>
        <v>82.50907150480256</v>
      </c>
      <c r="M16" s="5">
        <f t="shared" si="5"/>
        <v>2147.527777777778</v>
      </c>
      <c r="N16" s="5">
        <f t="shared" si="6"/>
        <v>5909.509071504803</v>
      </c>
      <c r="O16" s="6">
        <f t="shared" si="7"/>
        <v>153811.38888888888</v>
      </c>
      <c r="P16" s="7"/>
      <c r="Q16" s="7"/>
      <c r="R16" s="7"/>
      <c r="S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</row>
    <row r="17" spans="1:199" ht="15">
      <c r="A17" s="4" t="s">
        <v>8</v>
      </c>
      <c r="B17" s="2">
        <v>102</v>
      </c>
      <c r="C17" s="2">
        <v>9</v>
      </c>
      <c r="D17" s="5">
        <v>669378</v>
      </c>
      <c r="E17" s="5">
        <v>38922</v>
      </c>
      <c r="F17" s="5">
        <v>6120</v>
      </c>
      <c r="G17" s="5">
        <v>608375</v>
      </c>
      <c r="H17" s="5">
        <f t="shared" si="0"/>
        <v>6562.529411764706</v>
      </c>
      <c r="I17" s="5">
        <f t="shared" si="1"/>
        <v>74375.33333333333</v>
      </c>
      <c r="J17" s="5">
        <f t="shared" si="2"/>
        <v>381.5882352941176</v>
      </c>
      <c r="K17" s="5">
        <f t="shared" si="3"/>
        <v>4324.666666666667</v>
      </c>
      <c r="L17" s="5">
        <f t="shared" si="4"/>
        <v>60</v>
      </c>
      <c r="M17" s="5">
        <f t="shared" si="5"/>
        <v>680</v>
      </c>
      <c r="N17" s="5">
        <f t="shared" si="6"/>
        <v>5964.4607843137255</v>
      </c>
      <c r="O17" s="6">
        <f t="shared" si="7"/>
        <v>67597.22222222222</v>
      </c>
      <c r="P17" s="7"/>
      <c r="Q17" s="7"/>
      <c r="R17" s="7"/>
      <c r="S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</row>
    <row r="18" spans="1:199" ht="15">
      <c r="A18" s="4" t="s">
        <v>9</v>
      </c>
      <c r="B18" s="2">
        <v>318</v>
      </c>
      <c r="C18" s="2">
        <v>14</v>
      </c>
      <c r="D18" s="5">
        <v>1776338</v>
      </c>
      <c r="E18" s="5">
        <v>448603</v>
      </c>
      <c r="F18" s="5">
        <f>49453-3616</f>
        <v>45837</v>
      </c>
      <c r="G18" s="5">
        <v>1291540</v>
      </c>
      <c r="H18" s="5">
        <f t="shared" si="0"/>
        <v>5585.96855345912</v>
      </c>
      <c r="I18" s="5">
        <f t="shared" si="1"/>
        <v>126881.28571428571</v>
      </c>
      <c r="J18" s="5">
        <f t="shared" si="2"/>
        <v>1410.7012578616352</v>
      </c>
      <c r="K18" s="5">
        <f t="shared" si="3"/>
        <v>32043.071428571428</v>
      </c>
      <c r="L18" s="5">
        <f t="shared" si="4"/>
        <v>144.14150943396226</v>
      </c>
      <c r="M18" s="5">
        <f t="shared" si="5"/>
        <v>3274.0714285714284</v>
      </c>
      <c r="N18" s="5">
        <f t="shared" si="6"/>
        <v>4061.446540880503</v>
      </c>
      <c r="O18" s="6">
        <f t="shared" si="7"/>
        <v>92252.85714285714</v>
      </c>
      <c r="P18" s="7"/>
      <c r="Q18" s="7"/>
      <c r="R18" s="7"/>
      <c r="S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</row>
    <row r="19" spans="1:199" ht="15">
      <c r="A19" s="4" t="s">
        <v>10</v>
      </c>
      <c r="B19" s="2">
        <v>582</v>
      </c>
      <c r="C19" s="2">
        <v>25</v>
      </c>
      <c r="D19" s="5">
        <v>2724458</v>
      </c>
      <c r="E19" s="5">
        <v>546658</v>
      </c>
      <c r="F19" s="5">
        <v>46285</v>
      </c>
      <c r="G19" s="5">
        <v>2131808</v>
      </c>
      <c r="H19" s="5">
        <f t="shared" si="0"/>
        <v>4681.199312714777</v>
      </c>
      <c r="I19" s="5">
        <f t="shared" si="1"/>
        <v>108978.32</v>
      </c>
      <c r="J19" s="5">
        <f t="shared" si="2"/>
        <v>939.2749140893471</v>
      </c>
      <c r="K19" s="5">
        <f t="shared" si="3"/>
        <v>21866.32</v>
      </c>
      <c r="L19" s="5">
        <f t="shared" si="4"/>
        <v>79.52749140893471</v>
      </c>
      <c r="M19" s="5">
        <f t="shared" si="5"/>
        <v>1851.4</v>
      </c>
      <c r="N19" s="5">
        <f t="shared" si="6"/>
        <v>3662.9003436426115</v>
      </c>
      <c r="O19" s="6">
        <f t="shared" si="7"/>
        <v>85272.32</v>
      </c>
      <c r="P19" s="7"/>
      <c r="Q19" s="7"/>
      <c r="R19" s="7"/>
      <c r="S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</row>
    <row r="20" spans="1:199" ht="15">
      <c r="A20" s="4" t="s">
        <v>11</v>
      </c>
      <c r="B20" s="2">
        <v>245</v>
      </c>
      <c r="C20" s="2">
        <v>11</v>
      </c>
      <c r="D20" s="5">
        <v>1262099</v>
      </c>
      <c r="E20" s="5">
        <v>195402</v>
      </c>
      <c r="F20" s="5">
        <v>18184</v>
      </c>
      <c r="G20" s="5">
        <v>1025741</v>
      </c>
      <c r="H20" s="5">
        <f t="shared" si="0"/>
        <v>5151.424489795919</v>
      </c>
      <c r="I20" s="5">
        <f t="shared" si="1"/>
        <v>114736.27272727272</v>
      </c>
      <c r="J20" s="5">
        <f t="shared" si="2"/>
        <v>797.5591836734694</v>
      </c>
      <c r="K20" s="5">
        <f t="shared" si="3"/>
        <v>17763.81818181818</v>
      </c>
      <c r="L20" s="5">
        <f t="shared" si="4"/>
        <v>74.2204081632653</v>
      </c>
      <c r="M20" s="5">
        <f t="shared" si="5"/>
        <v>1653.090909090909</v>
      </c>
      <c r="N20" s="5">
        <f t="shared" si="6"/>
        <v>4186.697959183673</v>
      </c>
      <c r="O20" s="6">
        <f t="shared" si="7"/>
        <v>93249.18181818182</v>
      </c>
      <c r="P20" s="7"/>
      <c r="Q20" s="7"/>
      <c r="R20" s="7"/>
      <c r="S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</row>
    <row r="21" spans="1:199" ht="15">
      <c r="A21" s="4" t="s">
        <v>12</v>
      </c>
      <c r="B21" s="2">
        <v>922</v>
      </c>
      <c r="C21" s="2">
        <v>32</v>
      </c>
      <c r="D21" s="5">
        <v>3760392</v>
      </c>
      <c r="E21" s="5">
        <v>1066519</v>
      </c>
      <c r="F21" s="5">
        <v>45057</v>
      </c>
      <c r="G21" s="5">
        <v>2632427</v>
      </c>
      <c r="H21" s="5">
        <f t="shared" si="0"/>
        <v>4078.5162689804774</v>
      </c>
      <c r="I21" s="5">
        <f t="shared" si="1"/>
        <v>117512.25</v>
      </c>
      <c r="J21" s="5">
        <f t="shared" si="2"/>
        <v>1156.7451193058569</v>
      </c>
      <c r="K21" s="5">
        <f t="shared" si="3"/>
        <v>33328.71875</v>
      </c>
      <c r="L21" s="5">
        <f t="shared" si="4"/>
        <v>48.86876355748373</v>
      </c>
      <c r="M21" s="5">
        <f t="shared" si="5"/>
        <v>1408.03125</v>
      </c>
      <c r="N21" s="5">
        <f t="shared" si="6"/>
        <v>2855.1268980477225</v>
      </c>
      <c r="O21" s="6">
        <f t="shared" si="7"/>
        <v>82263.34375</v>
      </c>
      <c r="P21" s="7"/>
      <c r="Q21" s="7"/>
      <c r="R21" s="7"/>
      <c r="S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</row>
    <row r="22" spans="1:199" ht="15" customHeight="1">
      <c r="A22" s="4" t="s">
        <v>14</v>
      </c>
      <c r="B22" s="2">
        <v>1440</v>
      </c>
      <c r="C22" s="2">
        <v>50</v>
      </c>
      <c r="D22" s="5">
        <v>4148771</v>
      </c>
      <c r="E22" s="5">
        <v>99860</v>
      </c>
      <c r="F22" s="5">
        <v>84342</v>
      </c>
      <c r="G22" s="5">
        <v>3910230</v>
      </c>
      <c r="H22" s="5">
        <f t="shared" si="0"/>
        <v>2881.0909722222223</v>
      </c>
      <c r="I22" s="5">
        <f t="shared" si="1"/>
        <v>82975.42</v>
      </c>
      <c r="J22" s="5">
        <f t="shared" si="2"/>
        <v>69.34722222222223</v>
      </c>
      <c r="K22" s="5">
        <f t="shared" si="3"/>
        <v>1997.2</v>
      </c>
      <c r="L22" s="5">
        <f t="shared" si="4"/>
        <v>58.57083333333333</v>
      </c>
      <c r="M22" s="5">
        <f t="shared" si="5"/>
        <v>1686.84</v>
      </c>
      <c r="N22" s="5">
        <f t="shared" si="6"/>
        <v>2715.4375</v>
      </c>
      <c r="O22" s="6">
        <f t="shared" si="7"/>
        <v>78204.6</v>
      </c>
      <c r="P22" s="7"/>
      <c r="Q22" s="7"/>
      <c r="R22" s="7"/>
      <c r="S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</row>
    <row r="23" spans="1:199" ht="15">
      <c r="A23" s="4" t="s">
        <v>15</v>
      </c>
      <c r="B23" s="2">
        <v>594</v>
      </c>
      <c r="C23" s="2">
        <v>23</v>
      </c>
      <c r="D23" s="5">
        <v>2860766</v>
      </c>
      <c r="E23" s="5">
        <v>939902</v>
      </c>
      <c r="F23" s="5">
        <v>51454</v>
      </c>
      <c r="G23" s="5">
        <v>1862365</v>
      </c>
      <c r="H23" s="5">
        <f t="shared" si="0"/>
        <v>4816.104377104377</v>
      </c>
      <c r="I23" s="5">
        <f t="shared" si="1"/>
        <v>124381.13043478261</v>
      </c>
      <c r="J23" s="5">
        <f t="shared" si="2"/>
        <v>1582.3265993265993</v>
      </c>
      <c r="K23" s="5">
        <f t="shared" si="3"/>
        <v>40865.30434782609</v>
      </c>
      <c r="L23" s="5">
        <f t="shared" si="4"/>
        <v>86.62289562289563</v>
      </c>
      <c r="M23" s="5">
        <f t="shared" si="5"/>
        <v>2237.1304347826085</v>
      </c>
      <c r="N23" s="5">
        <f t="shared" si="6"/>
        <v>3135.294612794613</v>
      </c>
      <c r="O23" s="6">
        <f t="shared" si="7"/>
        <v>80972.39130434782</v>
      </c>
      <c r="P23" s="7"/>
      <c r="Q23" s="7"/>
      <c r="R23" s="7"/>
      <c r="S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</row>
    <row r="24" spans="1:199" ht="15">
      <c r="A24" s="4" t="s">
        <v>16</v>
      </c>
      <c r="B24" s="2">
        <v>776</v>
      </c>
      <c r="C24" s="2">
        <v>30</v>
      </c>
      <c r="D24" s="5">
        <v>2784270</v>
      </c>
      <c r="E24" s="5">
        <v>515467</v>
      </c>
      <c r="F24" s="5">
        <v>83366</v>
      </c>
      <c r="G24" s="5">
        <v>2189878</v>
      </c>
      <c r="H24" s="5">
        <f t="shared" si="0"/>
        <v>3587.976804123711</v>
      </c>
      <c r="I24" s="5">
        <f t="shared" si="1"/>
        <v>92809</v>
      </c>
      <c r="J24" s="5">
        <f t="shared" si="2"/>
        <v>664.2615979381443</v>
      </c>
      <c r="K24" s="5">
        <f t="shared" si="3"/>
        <v>17182.233333333334</v>
      </c>
      <c r="L24" s="5">
        <f t="shared" si="4"/>
        <v>107.43041237113403</v>
      </c>
      <c r="M24" s="5">
        <f t="shared" si="5"/>
        <v>2778.866666666667</v>
      </c>
      <c r="N24" s="5">
        <f t="shared" si="6"/>
        <v>2822.007731958763</v>
      </c>
      <c r="O24" s="6">
        <f t="shared" si="7"/>
        <v>72995.93333333333</v>
      </c>
      <c r="P24" s="7"/>
      <c r="Q24" s="7"/>
      <c r="R24" s="7"/>
      <c r="S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</row>
    <row r="25" spans="1:199" ht="15">
      <c r="A25" s="4" t="s">
        <v>17</v>
      </c>
      <c r="B25" s="2">
        <v>254</v>
      </c>
      <c r="C25" s="2">
        <v>11</v>
      </c>
      <c r="D25" s="5">
        <v>1357530</v>
      </c>
      <c r="E25" s="5">
        <v>163042</v>
      </c>
      <c r="F25" s="5">
        <v>29964</v>
      </c>
      <c r="G25" s="5">
        <v>1144617</v>
      </c>
      <c r="H25" s="5">
        <f t="shared" si="0"/>
        <v>5344.606299212598</v>
      </c>
      <c r="I25" s="5">
        <f t="shared" si="1"/>
        <v>123411.81818181818</v>
      </c>
      <c r="J25" s="5">
        <f t="shared" si="2"/>
        <v>641.8976377952756</v>
      </c>
      <c r="K25" s="5">
        <f t="shared" si="3"/>
        <v>14822</v>
      </c>
      <c r="L25" s="5">
        <f t="shared" si="4"/>
        <v>117.96850393700787</v>
      </c>
      <c r="M25" s="5">
        <f t="shared" si="5"/>
        <v>2724</v>
      </c>
      <c r="N25" s="5">
        <f t="shared" si="6"/>
        <v>4506.366141732284</v>
      </c>
      <c r="O25" s="6">
        <f t="shared" si="7"/>
        <v>104056.09090909091</v>
      </c>
      <c r="P25" s="7"/>
      <c r="Q25" s="7"/>
      <c r="R25" s="7"/>
      <c r="S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</row>
    <row r="26" spans="1:199" ht="15">
      <c r="A26" s="4" t="s">
        <v>18</v>
      </c>
      <c r="B26" s="2">
        <v>463</v>
      </c>
      <c r="C26" s="2">
        <v>19</v>
      </c>
      <c r="D26" s="5">
        <v>1803607</v>
      </c>
      <c r="E26" s="5">
        <v>372538</v>
      </c>
      <c r="F26" s="5">
        <v>20515</v>
      </c>
      <c r="G26" s="5">
        <v>1385772</v>
      </c>
      <c r="H26" s="5">
        <f t="shared" si="0"/>
        <v>3895.4794816414687</v>
      </c>
      <c r="I26" s="5">
        <f t="shared" si="1"/>
        <v>94926.68421052632</v>
      </c>
      <c r="J26" s="5">
        <f t="shared" si="2"/>
        <v>804.6177105831533</v>
      </c>
      <c r="K26" s="5">
        <f t="shared" si="3"/>
        <v>19607.263157894737</v>
      </c>
      <c r="L26" s="5">
        <f t="shared" si="4"/>
        <v>44.30885529157668</v>
      </c>
      <c r="M26" s="5">
        <f t="shared" si="5"/>
        <v>1079.7368421052631</v>
      </c>
      <c r="N26" s="5">
        <f t="shared" si="6"/>
        <v>2993.0280777537796</v>
      </c>
      <c r="O26" s="6">
        <f t="shared" si="7"/>
        <v>72935.36842105263</v>
      </c>
      <c r="P26" s="7"/>
      <c r="Q26" s="7"/>
      <c r="R26" s="7"/>
      <c r="S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</row>
    <row r="27" spans="1:199" ht="15">
      <c r="A27" s="4" t="s">
        <v>19</v>
      </c>
      <c r="B27" s="2">
        <v>273</v>
      </c>
      <c r="C27" s="2">
        <v>11</v>
      </c>
      <c r="D27" s="5">
        <v>1333009</v>
      </c>
      <c r="E27" s="5">
        <v>243295</v>
      </c>
      <c r="F27" s="5">
        <v>19861</v>
      </c>
      <c r="G27" s="5">
        <v>1050414</v>
      </c>
      <c r="H27" s="5">
        <f t="shared" si="0"/>
        <v>4882.81684981685</v>
      </c>
      <c r="I27" s="5">
        <f t="shared" si="1"/>
        <v>121182.63636363637</v>
      </c>
      <c r="J27" s="5">
        <f t="shared" si="2"/>
        <v>891.1904761904761</v>
      </c>
      <c r="K27" s="5">
        <f t="shared" si="3"/>
        <v>22117.727272727272</v>
      </c>
      <c r="L27" s="5">
        <f t="shared" si="4"/>
        <v>72.75091575091575</v>
      </c>
      <c r="M27" s="5">
        <f t="shared" si="5"/>
        <v>1805.5454545454545</v>
      </c>
      <c r="N27" s="5">
        <f t="shared" si="6"/>
        <v>3847.6703296703295</v>
      </c>
      <c r="O27" s="6">
        <f t="shared" si="7"/>
        <v>95492.18181818182</v>
      </c>
      <c r="P27" s="7"/>
      <c r="Q27" s="7"/>
      <c r="R27" s="7"/>
      <c r="S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</row>
    <row r="28" spans="1:199" ht="15">
      <c r="A28" s="4" t="s">
        <v>20</v>
      </c>
      <c r="B28" s="2">
        <v>426</v>
      </c>
      <c r="C28" s="2">
        <v>16</v>
      </c>
      <c r="D28" s="5">
        <v>1805614</v>
      </c>
      <c r="E28" s="5">
        <v>411802</v>
      </c>
      <c r="F28" s="5">
        <v>26083</v>
      </c>
      <c r="G28" s="5">
        <v>1346030</v>
      </c>
      <c r="H28" s="5">
        <f t="shared" si="0"/>
        <v>4238.530516431925</v>
      </c>
      <c r="I28" s="5">
        <f t="shared" si="1"/>
        <v>112850.875</v>
      </c>
      <c r="J28" s="5">
        <f t="shared" si="2"/>
        <v>966.6713615023474</v>
      </c>
      <c r="K28" s="5">
        <f t="shared" si="3"/>
        <v>25737.625</v>
      </c>
      <c r="L28" s="5">
        <f t="shared" si="4"/>
        <v>61.22769953051643</v>
      </c>
      <c r="M28" s="5">
        <f t="shared" si="5"/>
        <v>1630.1875</v>
      </c>
      <c r="N28" s="5">
        <f t="shared" si="6"/>
        <v>3159.694835680751</v>
      </c>
      <c r="O28" s="6">
        <f t="shared" si="7"/>
        <v>84126.875</v>
      </c>
      <c r="P28" s="7"/>
      <c r="Q28" s="7"/>
      <c r="R28" s="7"/>
      <c r="S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</row>
    <row r="29" spans="1:199" ht="15">
      <c r="A29" s="4" t="s">
        <v>22</v>
      </c>
      <c r="B29" s="2">
        <v>984</v>
      </c>
      <c r="C29" s="2">
        <v>37</v>
      </c>
      <c r="D29" s="5">
        <v>3576860</v>
      </c>
      <c r="E29" s="5">
        <v>568832</v>
      </c>
      <c r="F29" s="5">
        <f>79840-246</f>
        <v>79594</v>
      </c>
      <c r="G29" s="5">
        <v>2929110</v>
      </c>
      <c r="H29" s="5">
        <f t="shared" si="0"/>
        <v>3635.020325203252</v>
      </c>
      <c r="I29" s="5">
        <f t="shared" si="1"/>
        <v>96671.8918918919</v>
      </c>
      <c r="J29" s="5">
        <f t="shared" si="2"/>
        <v>578.0813008130082</v>
      </c>
      <c r="K29" s="5">
        <f t="shared" si="3"/>
        <v>15373.837837837838</v>
      </c>
      <c r="L29" s="5">
        <f t="shared" si="4"/>
        <v>80.88821138211382</v>
      </c>
      <c r="M29" s="5">
        <f t="shared" si="5"/>
        <v>2151.189189189189</v>
      </c>
      <c r="N29" s="5">
        <f t="shared" si="6"/>
        <v>2976.737804878049</v>
      </c>
      <c r="O29" s="6">
        <f t="shared" si="7"/>
        <v>79165.13513513513</v>
      </c>
      <c r="P29" s="7"/>
      <c r="Q29" s="7"/>
      <c r="R29" s="7"/>
      <c r="S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</row>
    <row r="30" spans="1:199" ht="15">
      <c r="A30" s="4" t="s">
        <v>23</v>
      </c>
      <c r="B30" s="2">
        <v>507</v>
      </c>
      <c r="C30" s="2">
        <v>20</v>
      </c>
      <c r="D30" s="5">
        <v>2491148</v>
      </c>
      <c r="E30" s="5">
        <v>790352</v>
      </c>
      <c r="F30" s="5">
        <v>24148</v>
      </c>
      <c r="G30" s="5">
        <v>1677902</v>
      </c>
      <c r="H30" s="5">
        <f t="shared" si="0"/>
        <v>4913.506903353057</v>
      </c>
      <c r="I30" s="5">
        <f t="shared" si="1"/>
        <v>124557.4</v>
      </c>
      <c r="J30" s="5">
        <f t="shared" si="2"/>
        <v>1558.8796844181459</v>
      </c>
      <c r="K30" s="5">
        <f t="shared" si="3"/>
        <v>39517.6</v>
      </c>
      <c r="L30" s="5">
        <f t="shared" si="4"/>
        <v>47.629191321499015</v>
      </c>
      <c r="M30" s="5">
        <f t="shared" si="5"/>
        <v>1207.4</v>
      </c>
      <c r="N30" s="5">
        <f t="shared" si="6"/>
        <v>3309.4714003944773</v>
      </c>
      <c r="O30" s="6">
        <f t="shared" si="7"/>
        <v>83895.1</v>
      </c>
      <c r="P30" s="7"/>
      <c r="Q30" s="7"/>
      <c r="R30" s="7"/>
      <c r="S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</row>
    <row r="31" spans="1:199" ht="15">
      <c r="A31" s="4" t="s">
        <v>24</v>
      </c>
      <c r="B31" s="2">
        <v>242</v>
      </c>
      <c r="C31" s="2">
        <v>11</v>
      </c>
      <c r="D31" s="5">
        <v>1004959</v>
      </c>
      <c r="E31" s="5">
        <v>127996</v>
      </c>
      <c r="F31" s="5">
        <v>19672</v>
      </c>
      <c r="G31" s="5">
        <v>844798</v>
      </c>
      <c r="H31" s="5">
        <f t="shared" si="0"/>
        <v>4152.7231404958675</v>
      </c>
      <c r="I31" s="5">
        <f t="shared" si="1"/>
        <v>91359.90909090909</v>
      </c>
      <c r="J31" s="5">
        <f t="shared" si="2"/>
        <v>528.9090909090909</v>
      </c>
      <c r="K31" s="5">
        <f t="shared" si="3"/>
        <v>11636</v>
      </c>
      <c r="L31" s="5">
        <f t="shared" si="4"/>
        <v>81.2892561983471</v>
      </c>
      <c r="M31" s="5">
        <f t="shared" si="5"/>
        <v>1788.3636363636363</v>
      </c>
      <c r="N31" s="5">
        <f t="shared" si="6"/>
        <v>3490.900826446281</v>
      </c>
      <c r="O31" s="6">
        <f t="shared" si="7"/>
        <v>76799.81818181818</v>
      </c>
      <c r="P31" s="7"/>
      <c r="Q31" s="7"/>
      <c r="R31" s="7"/>
      <c r="S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</row>
    <row r="32" spans="1:199" ht="15">
      <c r="A32" s="4" t="s">
        <v>25</v>
      </c>
      <c r="B32" s="2">
        <v>836</v>
      </c>
      <c r="C32" s="2">
        <v>30</v>
      </c>
      <c r="D32" s="5">
        <v>3570093</v>
      </c>
      <c r="E32" s="5">
        <v>926306</v>
      </c>
      <c r="F32" s="5">
        <v>72568</v>
      </c>
      <c r="G32" s="5">
        <v>2539567</v>
      </c>
      <c r="H32" s="5">
        <f t="shared" si="0"/>
        <v>4270.446172248804</v>
      </c>
      <c r="I32" s="5">
        <f t="shared" si="1"/>
        <v>119003.1</v>
      </c>
      <c r="J32" s="5">
        <f t="shared" si="2"/>
        <v>1108.0215311004786</v>
      </c>
      <c r="K32" s="5">
        <f t="shared" si="3"/>
        <v>30876.866666666665</v>
      </c>
      <c r="L32" s="5">
        <f t="shared" si="4"/>
        <v>86.80382775119617</v>
      </c>
      <c r="M32" s="5">
        <f t="shared" si="5"/>
        <v>2418.9333333333334</v>
      </c>
      <c r="N32" s="5">
        <f t="shared" si="6"/>
        <v>3037.7595693779904</v>
      </c>
      <c r="O32" s="6">
        <f t="shared" si="7"/>
        <v>84652.23333333334</v>
      </c>
      <c r="P32" s="7"/>
      <c r="Q32" s="7"/>
      <c r="R32" s="7"/>
      <c r="S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</row>
    <row r="33" spans="1:199" ht="15">
      <c r="A33" s="4" t="s">
        <v>27</v>
      </c>
      <c r="B33" s="2">
        <v>300</v>
      </c>
      <c r="C33" s="2">
        <v>13</v>
      </c>
      <c r="D33" s="5">
        <v>1293344</v>
      </c>
      <c r="E33" s="5">
        <v>128972</v>
      </c>
      <c r="F33" s="5">
        <v>27934</v>
      </c>
      <c r="G33" s="5">
        <v>1115342</v>
      </c>
      <c r="H33" s="5">
        <f t="shared" si="0"/>
        <v>4311.1466666666665</v>
      </c>
      <c r="I33" s="5">
        <f t="shared" si="1"/>
        <v>99488</v>
      </c>
      <c r="J33" s="5">
        <f t="shared" si="2"/>
        <v>429.9066666666667</v>
      </c>
      <c r="K33" s="5">
        <f t="shared" si="3"/>
        <v>9920.923076923076</v>
      </c>
      <c r="L33" s="5">
        <f t="shared" si="4"/>
        <v>93.11333333333333</v>
      </c>
      <c r="M33" s="5">
        <f t="shared" si="5"/>
        <v>2148.769230769231</v>
      </c>
      <c r="N33" s="5">
        <f t="shared" si="6"/>
        <v>3717.806666666667</v>
      </c>
      <c r="O33" s="6">
        <f t="shared" si="7"/>
        <v>85795.53846153847</v>
      </c>
      <c r="P33" s="7"/>
      <c r="Q33" s="7"/>
      <c r="R33" s="7"/>
      <c r="S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</row>
    <row r="34" spans="1:199" ht="15">
      <c r="A34" s="4" t="s">
        <v>28</v>
      </c>
      <c r="B34" s="2">
        <v>840</v>
      </c>
      <c r="C34" s="2">
        <v>31</v>
      </c>
      <c r="D34" s="5">
        <v>2820495</v>
      </c>
      <c r="E34" s="5">
        <v>365428</v>
      </c>
      <c r="F34" s="5">
        <v>46598</v>
      </c>
      <c r="G34" s="5">
        <v>2370771</v>
      </c>
      <c r="H34" s="5">
        <f t="shared" si="0"/>
        <v>3357.7321428571427</v>
      </c>
      <c r="I34" s="5">
        <f t="shared" si="1"/>
        <v>90983.70967741935</v>
      </c>
      <c r="J34" s="5">
        <f t="shared" si="2"/>
        <v>435.03333333333336</v>
      </c>
      <c r="K34" s="5">
        <f t="shared" si="3"/>
        <v>11788</v>
      </c>
      <c r="L34" s="5">
        <f t="shared" si="4"/>
        <v>55.47380952380952</v>
      </c>
      <c r="M34" s="5">
        <f t="shared" si="5"/>
        <v>1503.1612903225807</v>
      </c>
      <c r="N34" s="5">
        <f t="shared" si="6"/>
        <v>2822.3464285714285</v>
      </c>
      <c r="O34" s="6">
        <f t="shared" si="7"/>
        <v>76476.48387096774</v>
      </c>
      <c r="P34" s="7"/>
      <c r="Q34" s="7"/>
      <c r="R34" s="7"/>
      <c r="S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</row>
    <row r="35" spans="1:199" ht="15">
      <c r="A35" s="4" t="s">
        <v>29</v>
      </c>
      <c r="B35" s="2">
        <v>701</v>
      </c>
      <c r="C35" s="2">
        <v>28</v>
      </c>
      <c r="D35" s="5">
        <v>3150838</v>
      </c>
      <c r="E35" s="5">
        <v>646916</v>
      </c>
      <c r="F35" s="5">
        <v>56633</v>
      </c>
      <c r="G35" s="5">
        <v>2449189</v>
      </c>
      <c r="H35" s="5">
        <f t="shared" si="0"/>
        <v>4494.776034236805</v>
      </c>
      <c r="I35" s="5">
        <f t="shared" si="1"/>
        <v>112529.92857142857</v>
      </c>
      <c r="J35" s="5">
        <f t="shared" si="2"/>
        <v>922.8473609129815</v>
      </c>
      <c r="K35" s="5">
        <f t="shared" si="3"/>
        <v>23104.14285714286</v>
      </c>
      <c r="L35" s="5">
        <f t="shared" si="4"/>
        <v>80.7888730385164</v>
      </c>
      <c r="M35" s="5">
        <f t="shared" si="5"/>
        <v>2022.607142857143</v>
      </c>
      <c r="N35" s="5">
        <f t="shared" si="6"/>
        <v>3493.8502139800285</v>
      </c>
      <c r="O35" s="6">
        <f t="shared" si="7"/>
        <v>87471.03571428571</v>
      </c>
      <c r="P35" s="7"/>
      <c r="Q35" s="7"/>
      <c r="R35" s="7"/>
      <c r="S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</row>
    <row r="36" spans="1:199" ht="15.75" customHeight="1">
      <c r="A36" s="4" t="s">
        <v>30</v>
      </c>
      <c r="B36" s="2">
        <v>281</v>
      </c>
      <c r="C36" s="2">
        <v>11</v>
      </c>
      <c r="D36" s="5">
        <v>1021840</v>
      </c>
      <c r="E36" s="5">
        <v>165902</v>
      </c>
      <c r="F36" s="5">
        <v>16225</v>
      </c>
      <c r="G36" s="5">
        <v>815332</v>
      </c>
      <c r="H36" s="5">
        <f t="shared" si="0"/>
        <v>3636.44128113879</v>
      </c>
      <c r="I36" s="5">
        <f t="shared" si="1"/>
        <v>92894.54545454546</v>
      </c>
      <c r="J36" s="5">
        <f t="shared" si="2"/>
        <v>590.3985765124555</v>
      </c>
      <c r="K36" s="5">
        <f t="shared" si="3"/>
        <v>15082</v>
      </c>
      <c r="L36" s="5">
        <f t="shared" si="4"/>
        <v>57.74021352313167</v>
      </c>
      <c r="M36" s="5">
        <f t="shared" si="5"/>
        <v>1475</v>
      </c>
      <c r="N36" s="5">
        <f t="shared" si="6"/>
        <v>2901.537366548043</v>
      </c>
      <c r="O36" s="6">
        <f t="shared" si="7"/>
        <v>74121.09090909091</v>
      </c>
      <c r="P36" s="7"/>
      <c r="Q36" s="7"/>
      <c r="R36" s="7"/>
      <c r="S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</row>
    <row r="37" spans="1:199" ht="16.5" customHeight="1">
      <c r="A37" s="4" t="s">
        <v>39</v>
      </c>
      <c r="B37" s="2">
        <v>505</v>
      </c>
      <c r="C37" s="2">
        <v>16</v>
      </c>
      <c r="D37" s="5">
        <v>1643324</v>
      </c>
      <c r="E37" s="5">
        <v>249091</v>
      </c>
      <c r="F37" s="5">
        <v>26173</v>
      </c>
      <c r="G37" s="5">
        <v>1264513</v>
      </c>
      <c r="H37" s="5">
        <f t="shared" si="0"/>
        <v>3254.1069306930694</v>
      </c>
      <c r="I37" s="5">
        <f t="shared" si="1"/>
        <v>102707.75</v>
      </c>
      <c r="J37" s="5">
        <f t="shared" si="2"/>
        <v>493.24950495049507</v>
      </c>
      <c r="K37" s="5">
        <f t="shared" si="3"/>
        <v>15568.1875</v>
      </c>
      <c r="L37" s="5">
        <f t="shared" si="4"/>
        <v>51.82772277227723</v>
      </c>
      <c r="M37" s="5">
        <f t="shared" si="5"/>
        <v>1635.8125</v>
      </c>
      <c r="N37" s="5">
        <f t="shared" si="6"/>
        <v>2503.9861386138614</v>
      </c>
      <c r="O37" s="6">
        <f t="shared" si="7"/>
        <v>79032.0625</v>
      </c>
      <c r="P37" s="7"/>
      <c r="Q37" s="7"/>
      <c r="R37" s="7"/>
      <c r="S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</row>
    <row r="38" spans="1:199" ht="33" customHeight="1">
      <c r="A38" s="88" t="s">
        <v>31</v>
      </c>
      <c r="B38" s="2">
        <v>217</v>
      </c>
      <c r="C38" s="2">
        <v>8</v>
      </c>
      <c r="D38" s="5">
        <v>1042389</v>
      </c>
      <c r="E38" s="5">
        <v>83</v>
      </c>
      <c r="F38" s="5">
        <v>0</v>
      </c>
      <c r="G38" s="5">
        <v>1041165</v>
      </c>
      <c r="H38" s="5">
        <f t="shared" si="0"/>
        <v>4803.635944700461</v>
      </c>
      <c r="I38" s="5">
        <f t="shared" si="1"/>
        <v>130298.625</v>
      </c>
      <c r="J38" s="5">
        <f t="shared" si="2"/>
        <v>0.3824884792626728</v>
      </c>
      <c r="K38" s="5">
        <f t="shared" si="3"/>
        <v>10.375</v>
      </c>
      <c r="L38" s="5">
        <f t="shared" si="4"/>
        <v>0</v>
      </c>
      <c r="M38" s="5">
        <f t="shared" si="5"/>
        <v>0</v>
      </c>
      <c r="N38" s="5">
        <f t="shared" si="6"/>
        <v>4797.995391705069</v>
      </c>
      <c r="O38" s="6">
        <f t="shared" si="7"/>
        <v>130145.625</v>
      </c>
      <c r="P38" s="7"/>
      <c r="Q38" s="7"/>
      <c r="R38" s="7"/>
      <c r="S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</row>
    <row r="39" spans="1:199" ht="18.75" customHeight="1" thickBot="1">
      <c r="A39" s="89" t="s">
        <v>33</v>
      </c>
      <c r="B39" s="12">
        <v>272</v>
      </c>
      <c r="C39" s="12">
        <v>9</v>
      </c>
      <c r="D39" s="12">
        <v>695513</v>
      </c>
      <c r="E39" s="12">
        <v>15041</v>
      </c>
      <c r="F39" s="12">
        <v>1323</v>
      </c>
      <c r="G39" s="12">
        <v>679250</v>
      </c>
      <c r="H39" s="12">
        <f>D39/B39</f>
        <v>2557.033088235294</v>
      </c>
      <c r="I39" s="12">
        <f>D39/C39</f>
        <v>77279.22222222222</v>
      </c>
      <c r="J39" s="12">
        <f>E39/B39</f>
        <v>55.29779411764706</v>
      </c>
      <c r="K39" s="12">
        <f>E39/C39</f>
        <v>1671.2222222222222</v>
      </c>
      <c r="L39" s="12">
        <f>F39/B39</f>
        <v>4.863970588235294</v>
      </c>
      <c r="M39" s="12">
        <f>F39/C39</f>
        <v>147</v>
      </c>
      <c r="N39" s="12">
        <f>G39/B39</f>
        <v>2497.2426470588234</v>
      </c>
      <c r="O39" s="13">
        <f>G39/C39</f>
        <v>75472.22222222222</v>
      </c>
      <c r="P39" s="7"/>
      <c r="Q39" s="7"/>
      <c r="R39" s="7"/>
      <c r="S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</row>
    <row r="40" spans="1:199" ht="20.25" customHeight="1" thickBot="1">
      <c r="A40" s="71" t="s">
        <v>44</v>
      </c>
      <c r="B40" s="84">
        <f aca="true" t="shared" si="8" ref="B40:G40">SUM(B7:B39)</f>
        <v>17999</v>
      </c>
      <c r="C40" s="84">
        <f t="shared" si="8"/>
        <v>697</v>
      </c>
      <c r="D40" s="84">
        <f t="shared" si="8"/>
        <v>76288114</v>
      </c>
      <c r="E40" s="84">
        <f t="shared" si="8"/>
        <v>13819321</v>
      </c>
      <c r="F40" s="84">
        <f t="shared" si="8"/>
        <v>1231094</v>
      </c>
      <c r="G40" s="84">
        <f t="shared" si="8"/>
        <v>60677877</v>
      </c>
      <c r="H40" s="81">
        <f>D40/B40</f>
        <v>4238.46402577921</v>
      </c>
      <c r="I40" s="81">
        <f>D40/C40</f>
        <v>109452.10043041607</v>
      </c>
      <c r="J40" s="81">
        <f>E40/B40</f>
        <v>767.782710150564</v>
      </c>
      <c r="K40" s="81">
        <f>E40/C40</f>
        <v>19826.859397417502</v>
      </c>
      <c r="L40" s="81">
        <f>F40/B40</f>
        <v>68.39791099505528</v>
      </c>
      <c r="M40" s="81">
        <f>F40/C40</f>
        <v>1766.2754662840746</v>
      </c>
      <c r="N40" s="81">
        <f>G40/B40</f>
        <v>3371.180454469693</v>
      </c>
      <c r="O40" s="81">
        <f>G40/C40</f>
        <v>87055.77761836442</v>
      </c>
      <c r="P40" s="7"/>
      <c r="Q40" s="7"/>
      <c r="R40" s="7"/>
      <c r="S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</row>
    <row r="41" spans="1:199" ht="27.75" customHeight="1">
      <c r="A41" s="90" t="s">
        <v>41</v>
      </c>
      <c r="B41" s="64">
        <v>857</v>
      </c>
      <c r="C41" s="64">
        <v>31</v>
      </c>
      <c r="D41" s="20">
        <v>3536740</v>
      </c>
      <c r="E41" s="20">
        <v>425121</v>
      </c>
      <c r="F41" s="20">
        <v>65147</v>
      </c>
      <c r="G41" s="20">
        <v>3021486</v>
      </c>
      <c r="H41" s="20">
        <f t="shared" si="0"/>
        <v>4126.884480746791</v>
      </c>
      <c r="I41" s="20">
        <f t="shared" si="1"/>
        <v>114088.3870967742</v>
      </c>
      <c r="J41" s="20">
        <f t="shared" si="2"/>
        <v>496.0571761960327</v>
      </c>
      <c r="K41" s="20">
        <f t="shared" si="3"/>
        <v>13713.58064516129</v>
      </c>
      <c r="L41" s="20">
        <f t="shared" si="4"/>
        <v>76.01750291715285</v>
      </c>
      <c r="M41" s="20">
        <f t="shared" si="5"/>
        <v>2101.516129032258</v>
      </c>
      <c r="N41" s="20">
        <f t="shared" si="6"/>
        <v>3525.654609101517</v>
      </c>
      <c r="O41" s="24">
        <f t="shared" si="7"/>
        <v>97467.29032258065</v>
      </c>
      <c r="P41" s="7"/>
      <c r="Q41" s="7"/>
      <c r="R41" s="7"/>
      <c r="S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</row>
    <row r="42" spans="1:199" ht="15">
      <c r="A42" s="4" t="s">
        <v>13</v>
      </c>
      <c r="B42" s="5">
        <v>622</v>
      </c>
      <c r="C42" s="5">
        <v>25</v>
      </c>
      <c r="D42" s="5">
        <v>2352532</v>
      </c>
      <c r="E42" s="5">
        <v>284040</v>
      </c>
      <c r="F42" s="5">
        <v>34344</v>
      </c>
      <c r="G42" s="5">
        <v>1974538</v>
      </c>
      <c r="H42" s="5">
        <f t="shared" si="0"/>
        <v>3782.2057877813504</v>
      </c>
      <c r="I42" s="5">
        <f t="shared" si="1"/>
        <v>94101.28</v>
      </c>
      <c r="J42" s="5">
        <f t="shared" si="2"/>
        <v>456.65594855305466</v>
      </c>
      <c r="K42" s="5">
        <f t="shared" si="3"/>
        <v>11361.6</v>
      </c>
      <c r="L42" s="5">
        <f t="shared" si="4"/>
        <v>55.21543408360129</v>
      </c>
      <c r="M42" s="5">
        <f t="shared" si="5"/>
        <v>1373.76</v>
      </c>
      <c r="N42" s="5">
        <f t="shared" si="6"/>
        <v>3174.4983922829583</v>
      </c>
      <c r="O42" s="6">
        <f t="shared" si="7"/>
        <v>78981.52</v>
      </c>
      <c r="P42" s="7"/>
      <c r="Q42" s="7"/>
      <c r="R42" s="7"/>
      <c r="S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10"/>
      <c r="BZ42" s="11"/>
      <c r="CA42" s="11"/>
      <c r="CB42" s="11"/>
      <c r="CC42" s="11"/>
      <c r="CD42" s="11"/>
      <c r="CE42" s="11"/>
      <c r="CF42" s="11"/>
      <c r="CG42" s="11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</row>
    <row r="43" spans="1:199" ht="15">
      <c r="A43" s="4" t="s">
        <v>21</v>
      </c>
      <c r="B43" s="5">
        <v>1043</v>
      </c>
      <c r="C43" s="5">
        <v>36</v>
      </c>
      <c r="D43" s="5">
        <v>3812092</v>
      </c>
      <c r="E43" s="5">
        <v>887835</v>
      </c>
      <c r="F43" s="5">
        <v>49162</v>
      </c>
      <c r="G43" s="5">
        <v>2794992</v>
      </c>
      <c r="H43" s="5">
        <f t="shared" si="0"/>
        <v>3654.930009587728</v>
      </c>
      <c r="I43" s="5">
        <f t="shared" si="1"/>
        <v>105891.44444444444</v>
      </c>
      <c r="J43" s="5">
        <f t="shared" si="2"/>
        <v>851.2320230105465</v>
      </c>
      <c r="K43" s="5">
        <f t="shared" si="3"/>
        <v>24662.083333333332</v>
      </c>
      <c r="L43" s="5">
        <f t="shared" si="4"/>
        <v>47.13518696069032</v>
      </c>
      <c r="M43" s="5">
        <f t="shared" si="5"/>
        <v>1365.611111111111</v>
      </c>
      <c r="N43" s="5">
        <f t="shared" si="6"/>
        <v>2679.7622243528285</v>
      </c>
      <c r="O43" s="6">
        <f t="shared" si="7"/>
        <v>77638.66666666667</v>
      </c>
      <c r="P43" s="7"/>
      <c r="Q43" s="7"/>
      <c r="R43" s="7"/>
      <c r="S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10"/>
      <c r="BZ43" s="11"/>
      <c r="CA43" s="11"/>
      <c r="CB43" s="11"/>
      <c r="CC43" s="11"/>
      <c r="CD43" s="11"/>
      <c r="CE43" s="11"/>
      <c r="CF43" s="11"/>
      <c r="CG43" s="11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</row>
    <row r="44" spans="1:199" ht="15">
      <c r="A44" s="4" t="s">
        <v>26</v>
      </c>
      <c r="B44" s="5">
        <v>707</v>
      </c>
      <c r="C44" s="5">
        <v>27</v>
      </c>
      <c r="D44" s="5">
        <v>3186657</v>
      </c>
      <c r="E44" s="5">
        <v>494565</v>
      </c>
      <c r="F44" s="5">
        <v>71441</v>
      </c>
      <c r="G44" s="5">
        <v>2576489</v>
      </c>
      <c r="H44" s="5">
        <f t="shared" si="0"/>
        <v>4507.294200848656</v>
      </c>
      <c r="I44" s="5">
        <f t="shared" si="1"/>
        <v>118024.33333333333</v>
      </c>
      <c r="J44" s="5">
        <f t="shared" si="2"/>
        <v>699.5261669024045</v>
      </c>
      <c r="K44" s="5">
        <f t="shared" si="3"/>
        <v>18317.222222222223</v>
      </c>
      <c r="L44" s="5">
        <f t="shared" si="4"/>
        <v>101.04809052333805</v>
      </c>
      <c r="M44" s="5">
        <f t="shared" si="5"/>
        <v>2645.962962962963</v>
      </c>
      <c r="N44" s="5">
        <f t="shared" si="6"/>
        <v>3644.2560113154173</v>
      </c>
      <c r="O44" s="6">
        <f t="shared" si="7"/>
        <v>95425.51851851853</v>
      </c>
      <c r="P44" s="7"/>
      <c r="Q44" s="7"/>
      <c r="R44" s="7"/>
      <c r="S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10"/>
      <c r="BZ44" s="11"/>
      <c r="CA44" s="11"/>
      <c r="CB44" s="11"/>
      <c r="CC44" s="11"/>
      <c r="CD44" s="11"/>
      <c r="CE44" s="11"/>
      <c r="CF44" s="11"/>
      <c r="CG44" s="11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</row>
    <row r="45" spans="1:199" ht="15.75" thickBot="1">
      <c r="A45" s="4" t="s">
        <v>32</v>
      </c>
      <c r="B45" s="5">
        <v>373</v>
      </c>
      <c r="C45" s="5">
        <v>16</v>
      </c>
      <c r="D45" s="5">
        <v>2410896</v>
      </c>
      <c r="E45" s="5">
        <v>293333</v>
      </c>
      <c r="F45" s="5">
        <v>41264</v>
      </c>
      <c r="G45" s="5">
        <v>2028824</v>
      </c>
      <c r="H45" s="5">
        <f t="shared" si="0"/>
        <v>6463.528150134049</v>
      </c>
      <c r="I45" s="5">
        <f t="shared" si="1"/>
        <v>150681</v>
      </c>
      <c r="J45" s="5">
        <f t="shared" si="2"/>
        <v>786.4155495978553</v>
      </c>
      <c r="K45" s="5">
        <f t="shared" si="3"/>
        <v>18333.3125</v>
      </c>
      <c r="L45" s="5">
        <f t="shared" si="4"/>
        <v>110.62734584450402</v>
      </c>
      <c r="M45" s="5">
        <f t="shared" si="5"/>
        <v>2579</v>
      </c>
      <c r="N45" s="5">
        <f t="shared" si="6"/>
        <v>5439.206434316354</v>
      </c>
      <c r="O45" s="6">
        <f t="shared" si="7"/>
        <v>126801.5</v>
      </c>
      <c r="P45" s="7"/>
      <c r="Q45" s="7"/>
      <c r="R45" s="7"/>
      <c r="S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10"/>
      <c r="BZ45" s="11"/>
      <c r="CA45" s="11"/>
      <c r="CB45" s="11"/>
      <c r="CC45" s="11"/>
      <c r="CD45" s="11"/>
      <c r="CE45" s="11"/>
      <c r="CF45" s="11"/>
      <c r="CG45" s="11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</row>
    <row r="46" spans="1:199" s="48" customFormat="1" ht="15.75" thickBot="1">
      <c r="A46" s="27" t="s">
        <v>44</v>
      </c>
      <c r="B46" s="28">
        <f aca="true" t="shared" si="9" ref="B46:G46">B40+B41+B42+B43+B44+B45</f>
        <v>21601</v>
      </c>
      <c r="C46" s="28">
        <f t="shared" si="9"/>
        <v>832</v>
      </c>
      <c r="D46" s="28">
        <f t="shared" si="9"/>
        <v>91587031</v>
      </c>
      <c r="E46" s="28">
        <f t="shared" si="9"/>
        <v>16204215</v>
      </c>
      <c r="F46" s="28">
        <f t="shared" si="9"/>
        <v>1492452</v>
      </c>
      <c r="G46" s="28">
        <f t="shared" si="9"/>
        <v>73074206</v>
      </c>
      <c r="H46" s="28">
        <f t="shared" si="0"/>
        <v>4239.944030368964</v>
      </c>
      <c r="I46" s="28">
        <f t="shared" si="1"/>
        <v>110080.56610576923</v>
      </c>
      <c r="J46" s="28">
        <f t="shared" si="2"/>
        <v>750.1604092403129</v>
      </c>
      <c r="K46" s="28">
        <f t="shared" si="3"/>
        <v>19476.219951923078</v>
      </c>
      <c r="L46" s="28">
        <f t="shared" si="4"/>
        <v>69.09180130549511</v>
      </c>
      <c r="M46" s="28">
        <f t="shared" si="5"/>
        <v>1793.8125</v>
      </c>
      <c r="N46" s="28">
        <f t="shared" si="6"/>
        <v>3382.908476459423</v>
      </c>
      <c r="O46" s="28">
        <f t="shared" si="7"/>
        <v>87829.57451923077</v>
      </c>
      <c r="P46" s="42"/>
      <c r="Q46" s="42"/>
      <c r="R46" s="42"/>
      <c r="S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9"/>
      <c r="BZ46" s="50"/>
      <c r="CA46" s="50"/>
      <c r="CB46" s="50"/>
      <c r="CC46" s="50"/>
      <c r="CD46" s="50"/>
      <c r="CE46" s="50"/>
      <c r="CF46" s="50"/>
      <c r="CG46" s="50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</row>
    <row r="47" spans="1:199" ht="15.75" thickBot="1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9"/>
      <c r="P47" s="7"/>
      <c r="Q47" s="7"/>
      <c r="R47" s="7"/>
      <c r="S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10"/>
      <c r="BZ47" s="11"/>
      <c r="CA47" s="11"/>
      <c r="CB47" s="11"/>
      <c r="CC47" s="11"/>
      <c r="CD47" s="11"/>
      <c r="CE47" s="11"/>
      <c r="CF47" s="11"/>
      <c r="CG47" s="11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</row>
    <row r="48" spans="1:199" s="45" customFormat="1" ht="15.75" thickBot="1">
      <c r="A48" s="40" t="s">
        <v>93</v>
      </c>
      <c r="B48" s="41">
        <v>145</v>
      </c>
      <c r="C48" s="41">
        <v>9</v>
      </c>
      <c r="D48" s="42">
        <v>520663</v>
      </c>
      <c r="E48" s="42">
        <v>0</v>
      </c>
      <c r="F48" s="42">
        <v>0</v>
      </c>
      <c r="G48" s="42">
        <v>520650</v>
      </c>
      <c r="H48" s="42">
        <f>D48/B48</f>
        <v>3590.7793103448275</v>
      </c>
      <c r="I48" s="42">
        <f>D48/C48</f>
        <v>57851.444444444445</v>
      </c>
      <c r="J48" s="42">
        <f>E48/B48</f>
        <v>0</v>
      </c>
      <c r="K48" s="42">
        <f>E48/C48</f>
        <v>0</v>
      </c>
      <c r="L48" s="42">
        <f>F48/B48</f>
        <v>0</v>
      </c>
      <c r="M48" s="42">
        <f>F48/C48</f>
        <v>0</v>
      </c>
      <c r="N48" s="42">
        <f>G48/B48</f>
        <v>3590.689655172414</v>
      </c>
      <c r="O48" s="43">
        <f>G48/C48</f>
        <v>57850</v>
      </c>
      <c r="P48" s="44"/>
      <c r="Q48" s="44"/>
      <c r="R48" s="44"/>
      <c r="S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</row>
    <row r="49" spans="1:199" ht="1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10"/>
      <c r="BZ49" s="11"/>
      <c r="CA49" s="11"/>
      <c r="CB49" s="11"/>
      <c r="CC49" s="11"/>
      <c r="CD49" s="11"/>
      <c r="CE49" s="11"/>
      <c r="CF49" s="11"/>
      <c r="CG49" s="11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</row>
    <row r="50" spans="1:199" ht="15">
      <c r="A50" s="4" t="s">
        <v>45</v>
      </c>
      <c r="B50" s="5">
        <v>147</v>
      </c>
      <c r="C50" s="5">
        <v>17</v>
      </c>
      <c r="D50" s="5">
        <v>2827811</v>
      </c>
      <c r="E50" s="5">
        <v>267848</v>
      </c>
      <c r="F50" s="5">
        <v>23860</v>
      </c>
      <c r="G50" s="5">
        <v>2452137</v>
      </c>
      <c r="H50" s="5">
        <f aca="true" t="shared" si="10" ref="H50:H55">D50/B50</f>
        <v>19236.809523809523</v>
      </c>
      <c r="I50" s="5">
        <f aca="true" t="shared" si="11" ref="I50:I55">D50/C50</f>
        <v>166341.82352941178</v>
      </c>
      <c r="J50" s="5">
        <f aca="true" t="shared" si="12" ref="J50:J55">E50/B50</f>
        <v>1822.095238095238</v>
      </c>
      <c r="K50" s="5">
        <f aca="true" t="shared" si="13" ref="K50:K55">E50/C50</f>
        <v>15755.764705882353</v>
      </c>
      <c r="L50" s="5">
        <f aca="true" t="shared" si="14" ref="L50:L55">F50/B50</f>
        <v>162.31292517006804</v>
      </c>
      <c r="M50" s="5">
        <f aca="true" t="shared" si="15" ref="M50:M55">F50/C50</f>
        <v>1403.5294117647059</v>
      </c>
      <c r="N50" s="5">
        <f aca="true" t="shared" si="16" ref="N50:N55">G50/B50</f>
        <v>16681.20408163265</v>
      </c>
      <c r="O50" s="6">
        <f aca="true" t="shared" si="17" ref="O50:O55">G50/C50</f>
        <v>144243.35294117648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10"/>
      <c r="BZ50" s="11"/>
      <c r="CA50" s="11"/>
      <c r="CB50" s="11"/>
      <c r="CC50" s="11"/>
      <c r="CD50" s="11"/>
      <c r="CE50" s="11"/>
      <c r="CF50" s="11"/>
      <c r="CG50" s="11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</row>
    <row r="51" spans="1:199" ht="15">
      <c r="A51" s="18" t="s">
        <v>46</v>
      </c>
      <c r="B51" s="19">
        <v>90</v>
      </c>
      <c r="C51" s="20">
        <v>9</v>
      </c>
      <c r="D51" s="20">
        <v>1604627</v>
      </c>
      <c r="E51" s="20">
        <v>139607</v>
      </c>
      <c r="F51" s="20">
        <v>19422</v>
      </c>
      <c r="G51" s="20">
        <v>1385911</v>
      </c>
      <c r="H51" s="5">
        <f t="shared" si="10"/>
        <v>17829.18888888889</v>
      </c>
      <c r="I51" s="5">
        <f t="shared" si="11"/>
        <v>178291.88888888888</v>
      </c>
      <c r="J51" s="5">
        <f t="shared" si="12"/>
        <v>1551.1888888888889</v>
      </c>
      <c r="K51" s="5">
        <f t="shared" si="13"/>
        <v>15511.888888888889</v>
      </c>
      <c r="L51" s="5">
        <f t="shared" si="14"/>
        <v>215.8</v>
      </c>
      <c r="M51" s="5">
        <f t="shared" si="15"/>
        <v>2158</v>
      </c>
      <c r="N51" s="5">
        <f t="shared" si="16"/>
        <v>15399.011111111111</v>
      </c>
      <c r="O51" s="6">
        <f t="shared" si="17"/>
        <v>153990.11111111112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10"/>
      <c r="BZ51" s="11"/>
      <c r="CA51" s="11"/>
      <c r="CB51" s="11"/>
      <c r="CC51" s="11"/>
      <c r="CD51" s="11"/>
      <c r="CE51" s="11"/>
      <c r="CF51" s="11"/>
      <c r="CG51" s="11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</row>
    <row r="52" spans="1:199" ht="15.75" thickBot="1">
      <c r="A52" s="21" t="s">
        <v>47</v>
      </c>
      <c r="B52" s="12">
        <v>103</v>
      </c>
      <c r="C52" s="22">
        <v>11</v>
      </c>
      <c r="D52" s="12">
        <v>1805578</v>
      </c>
      <c r="E52" s="20">
        <v>274295</v>
      </c>
      <c r="F52" s="12">
        <v>24623</v>
      </c>
      <c r="G52" s="12">
        <v>1459086</v>
      </c>
      <c r="H52" s="63">
        <f t="shared" si="10"/>
        <v>17529.88349514563</v>
      </c>
      <c r="I52" s="12">
        <f t="shared" si="11"/>
        <v>164143.45454545456</v>
      </c>
      <c r="J52" s="12">
        <f t="shared" si="12"/>
        <v>2663.0582524271845</v>
      </c>
      <c r="K52" s="12">
        <f t="shared" si="13"/>
        <v>24935.909090909092</v>
      </c>
      <c r="L52" s="12">
        <f t="shared" si="14"/>
        <v>239.05825242718447</v>
      </c>
      <c r="M52" s="12">
        <f t="shared" si="15"/>
        <v>2238.4545454545455</v>
      </c>
      <c r="N52" s="12">
        <f t="shared" si="16"/>
        <v>14165.883495145632</v>
      </c>
      <c r="O52" s="13">
        <f t="shared" si="17"/>
        <v>132644.18181818182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10"/>
      <c r="BZ52" s="11"/>
      <c r="CA52" s="11"/>
      <c r="CB52" s="11"/>
      <c r="CC52" s="11"/>
      <c r="CD52" s="11"/>
      <c r="CE52" s="11"/>
      <c r="CF52" s="11"/>
      <c r="CG52" s="11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</row>
    <row r="53" spans="1:199" s="48" customFormat="1" ht="12.75" customHeight="1" thickBot="1">
      <c r="A53" s="53" t="s">
        <v>44</v>
      </c>
      <c r="B53" s="28">
        <f aca="true" t="shared" si="18" ref="B53:G53">SUM(B50:B52)</f>
        <v>340</v>
      </c>
      <c r="C53" s="28">
        <f t="shared" si="18"/>
        <v>37</v>
      </c>
      <c r="D53" s="28">
        <f t="shared" si="18"/>
        <v>6238016</v>
      </c>
      <c r="E53" s="28">
        <f t="shared" si="18"/>
        <v>681750</v>
      </c>
      <c r="F53" s="28">
        <f t="shared" si="18"/>
        <v>67905</v>
      </c>
      <c r="G53" s="28">
        <f t="shared" si="18"/>
        <v>5297134</v>
      </c>
      <c r="H53" s="62">
        <f t="shared" si="10"/>
        <v>18347.105882352942</v>
      </c>
      <c r="I53" s="28">
        <f t="shared" si="11"/>
        <v>168595.02702702704</v>
      </c>
      <c r="J53" s="28">
        <f t="shared" si="12"/>
        <v>2005.1470588235295</v>
      </c>
      <c r="K53" s="28">
        <f t="shared" si="13"/>
        <v>18425.675675675677</v>
      </c>
      <c r="L53" s="28">
        <f t="shared" si="14"/>
        <v>199.72058823529412</v>
      </c>
      <c r="M53" s="28">
        <f t="shared" si="15"/>
        <v>1835.2702702702702</v>
      </c>
      <c r="N53" s="28">
        <f t="shared" si="16"/>
        <v>15579.80588235294</v>
      </c>
      <c r="O53" s="28">
        <f t="shared" si="17"/>
        <v>143165.7837837838</v>
      </c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9"/>
      <c r="BZ53" s="50"/>
      <c r="CA53" s="50"/>
      <c r="CB53" s="50"/>
      <c r="CC53" s="50"/>
      <c r="CD53" s="50"/>
      <c r="CE53" s="50"/>
      <c r="CF53" s="50"/>
      <c r="CG53" s="50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</row>
    <row r="54" spans="1:199" s="48" customFormat="1" ht="15.75" thickBot="1">
      <c r="A54" s="54" t="s">
        <v>48</v>
      </c>
      <c r="B54" s="79">
        <v>87</v>
      </c>
      <c r="C54" s="79">
        <v>5</v>
      </c>
      <c r="D54" s="28">
        <v>1751935</v>
      </c>
      <c r="E54" s="28">
        <v>170156</v>
      </c>
      <c r="F54" s="28">
        <v>15628</v>
      </c>
      <c r="G54" s="28">
        <v>1204065</v>
      </c>
      <c r="H54" s="28">
        <f t="shared" si="10"/>
        <v>20137.183908045976</v>
      </c>
      <c r="I54" s="28">
        <f t="shared" si="11"/>
        <v>350387</v>
      </c>
      <c r="J54" s="28">
        <f t="shared" si="12"/>
        <v>1955.816091954023</v>
      </c>
      <c r="K54" s="28">
        <f t="shared" si="13"/>
        <v>34031.2</v>
      </c>
      <c r="L54" s="28">
        <f t="shared" si="14"/>
        <v>179.632183908046</v>
      </c>
      <c r="M54" s="28">
        <f t="shared" si="15"/>
        <v>3125.6</v>
      </c>
      <c r="N54" s="28">
        <f t="shared" si="16"/>
        <v>13839.827586206897</v>
      </c>
      <c r="O54" s="28">
        <f t="shared" si="17"/>
        <v>240813</v>
      </c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9"/>
      <c r="BZ54" s="50"/>
      <c r="CA54" s="50"/>
      <c r="CB54" s="50"/>
      <c r="CC54" s="50"/>
      <c r="CD54" s="50"/>
      <c r="CE54" s="50"/>
      <c r="CF54" s="50"/>
      <c r="CG54" s="50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</row>
    <row r="55" spans="1:199" s="48" customFormat="1" ht="15.75" thickBot="1">
      <c r="A55" s="54" t="s">
        <v>49</v>
      </c>
      <c r="B55" s="28">
        <v>376</v>
      </c>
      <c r="C55" s="28">
        <v>17</v>
      </c>
      <c r="D55" s="28">
        <v>4095237</v>
      </c>
      <c r="E55" s="28">
        <v>652691</v>
      </c>
      <c r="F55" s="28">
        <v>81828</v>
      </c>
      <c r="G55" s="28">
        <v>3086171</v>
      </c>
      <c r="H55" s="28">
        <f t="shared" si="10"/>
        <v>10891.587765957447</v>
      </c>
      <c r="I55" s="28">
        <f t="shared" si="11"/>
        <v>240896.29411764705</v>
      </c>
      <c r="J55" s="28">
        <f t="shared" si="12"/>
        <v>1735.8803191489362</v>
      </c>
      <c r="K55" s="28">
        <f t="shared" si="13"/>
        <v>38393.58823529412</v>
      </c>
      <c r="L55" s="28">
        <f t="shared" si="14"/>
        <v>217.62765957446808</v>
      </c>
      <c r="M55" s="28">
        <f t="shared" si="15"/>
        <v>4813.411764705882</v>
      </c>
      <c r="N55" s="28">
        <f t="shared" si="16"/>
        <v>8207.90159574468</v>
      </c>
      <c r="O55" s="28">
        <f t="shared" si="17"/>
        <v>181539.4705882353</v>
      </c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9"/>
      <c r="BZ55" s="50"/>
      <c r="CA55" s="50"/>
      <c r="CB55" s="50"/>
      <c r="CC55" s="50"/>
      <c r="CD55" s="50"/>
      <c r="CE55" s="50"/>
      <c r="CF55" s="50"/>
      <c r="CG55" s="50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</row>
    <row r="56" spans="1:199" ht="15">
      <c r="A56" s="18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4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10"/>
      <c r="BZ56" s="11"/>
      <c r="CA56" s="11"/>
      <c r="CB56" s="11"/>
      <c r="CC56" s="11"/>
      <c r="CD56" s="11"/>
      <c r="CE56" s="11"/>
      <c r="CF56" s="11"/>
      <c r="CG56" s="11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</row>
    <row r="57" spans="1:199" ht="15">
      <c r="A57" s="4" t="s">
        <v>50</v>
      </c>
      <c r="B57" s="78">
        <v>1365</v>
      </c>
      <c r="C57" s="78">
        <v>91</v>
      </c>
      <c r="D57" s="25">
        <v>1014538</v>
      </c>
      <c r="E57" s="5">
        <v>303150</v>
      </c>
      <c r="F57" s="5">
        <v>7701</v>
      </c>
      <c r="G57" s="5">
        <v>710917</v>
      </c>
      <c r="H57" s="5">
        <f>D57/B57</f>
        <v>743.251282051282</v>
      </c>
      <c r="I57" s="5">
        <f>D57/C57</f>
        <v>11148.76923076923</v>
      </c>
      <c r="J57" s="5">
        <f>E57/B57</f>
        <v>222.0879120879121</v>
      </c>
      <c r="K57" s="5">
        <f>E57/C57</f>
        <v>3331.3186813186812</v>
      </c>
      <c r="L57" s="5">
        <f>F57/B57</f>
        <v>5.641758241758242</v>
      </c>
      <c r="M57" s="5">
        <f>F57/C57</f>
        <v>84.62637362637362</v>
      </c>
      <c r="N57" s="5">
        <f>G57/B57</f>
        <v>520.818315018315</v>
      </c>
      <c r="O57" s="6">
        <f>G57/C57</f>
        <v>7812.274725274725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10"/>
      <c r="BZ57" s="11"/>
      <c r="CA57" s="11"/>
      <c r="CB57" s="11"/>
      <c r="CC57" s="11"/>
      <c r="CD57" s="11"/>
      <c r="CE57" s="11"/>
      <c r="CF57" s="11"/>
      <c r="CG57" s="11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</row>
    <row r="58" spans="1:199" ht="15">
      <c r="A58" s="4" t="s">
        <v>51</v>
      </c>
      <c r="B58" s="78">
        <v>1425</v>
      </c>
      <c r="C58" s="78">
        <v>95</v>
      </c>
      <c r="D58" s="25">
        <v>733902</v>
      </c>
      <c r="E58" s="5">
        <v>178679</v>
      </c>
      <c r="F58" s="5">
        <v>6926</v>
      </c>
      <c r="G58" s="5">
        <v>554596</v>
      </c>
      <c r="H58" s="5">
        <f>D58/B58</f>
        <v>515.0189473684211</v>
      </c>
      <c r="I58" s="5">
        <f>D58/C58</f>
        <v>7725.284210526316</v>
      </c>
      <c r="J58" s="5">
        <f>E58/B58</f>
        <v>125.38877192982456</v>
      </c>
      <c r="K58" s="5">
        <f>E58/C58</f>
        <v>1880.8315789473684</v>
      </c>
      <c r="L58" s="5">
        <f>F58/B58</f>
        <v>4.860350877192983</v>
      </c>
      <c r="M58" s="5">
        <f>F58/C58</f>
        <v>72.90526315789474</v>
      </c>
      <c r="N58" s="5">
        <f>G58/B58</f>
        <v>389.1901754385965</v>
      </c>
      <c r="O58" s="6">
        <f>G58/C58</f>
        <v>5837.852631578948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10"/>
      <c r="BZ58" s="11"/>
      <c r="CA58" s="11"/>
      <c r="CB58" s="11"/>
      <c r="CC58" s="11"/>
      <c r="CD58" s="11"/>
      <c r="CE58" s="11"/>
      <c r="CF58" s="11"/>
      <c r="CG58" s="11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</row>
    <row r="59" spans="1:199" ht="15.75" thickBot="1">
      <c r="A59" s="26" t="s">
        <v>52</v>
      </c>
      <c r="B59" s="78">
        <v>420</v>
      </c>
      <c r="C59" s="78">
        <v>28</v>
      </c>
      <c r="D59" s="25">
        <v>212550</v>
      </c>
      <c r="E59" s="5">
        <v>20431</v>
      </c>
      <c r="F59" s="5">
        <v>0</v>
      </c>
      <c r="G59" s="5">
        <v>191868</v>
      </c>
      <c r="H59" s="5">
        <f>D59/B59</f>
        <v>506.07142857142856</v>
      </c>
      <c r="I59" s="5">
        <f>D59/C59</f>
        <v>7591.071428571428</v>
      </c>
      <c r="J59" s="5">
        <f>E59/B59</f>
        <v>48.64523809523809</v>
      </c>
      <c r="K59" s="5">
        <f>E59/C59</f>
        <v>729.6785714285714</v>
      </c>
      <c r="L59" s="5">
        <f>F59/B59</f>
        <v>0</v>
      </c>
      <c r="M59" s="5">
        <f>F59/C59</f>
        <v>0</v>
      </c>
      <c r="N59" s="5">
        <f>G59/B59</f>
        <v>456.8285714285714</v>
      </c>
      <c r="O59" s="6">
        <f>G59/C59</f>
        <v>6852.428571428572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10"/>
      <c r="BZ59" s="11"/>
      <c r="CA59" s="11"/>
      <c r="CB59" s="11"/>
      <c r="CC59" s="11"/>
      <c r="CD59" s="11"/>
      <c r="CE59" s="11"/>
      <c r="CF59" s="11"/>
      <c r="CG59" s="11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</row>
    <row r="60" spans="1:199" s="48" customFormat="1" ht="15.75" customHeight="1" thickBot="1">
      <c r="A60" s="27" t="s">
        <v>44</v>
      </c>
      <c r="B60" s="79">
        <f aca="true" t="shared" si="19" ref="B60:G60">SUM(B57:B59)</f>
        <v>3210</v>
      </c>
      <c r="C60" s="79">
        <f t="shared" si="19"/>
        <v>214</v>
      </c>
      <c r="D60" s="28">
        <f t="shared" si="19"/>
        <v>1960990</v>
      </c>
      <c r="E60" s="28">
        <f t="shared" si="19"/>
        <v>502260</v>
      </c>
      <c r="F60" s="28">
        <f t="shared" si="19"/>
        <v>14627</v>
      </c>
      <c r="G60" s="28">
        <f t="shared" si="19"/>
        <v>1457381</v>
      </c>
      <c r="H60" s="28">
        <f>D60/B60</f>
        <v>610.9003115264798</v>
      </c>
      <c r="I60" s="28">
        <f>D60/C60</f>
        <v>9163.504672897196</v>
      </c>
      <c r="J60" s="28">
        <f>E60/B60</f>
        <v>156.46728971962617</v>
      </c>
      <c r="K60" s="28">
        <f>E60/C60</f>
        <v>2347.0093457943926</v>
      </c>
      <c r="L60" s="28">
        <f>F60/B60</f>
        <v>4.556697819314642</v>
      </c>
      <c r="M60" s="28">
        <f>F60/C60</f>
        <v>68.35046728971963</v>
      </c>
      <c r="N60" s="28">
        <f>G60/B60</f>
        <v>454.0127725856698</v>
      </c>
      <c r="O60" s="28">
        <f>G60/C60</f>
        <v>6810.191588785046</v>
      </c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9"/>
      <c r="BZ60" s="50"/>
      <c r="CA60" s="50"/>
      <c r="CB60" s="50"/>
      <c r="CC60" s="50"/>
      <c r="CD60" s="50"/>
      <c r="CE60" s="50"/>
      <c r="CF60" s="50"/>
      <c r="CG60" s="50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</row>
    <row r="61" spans="1:199" ht="18" customHeight="1">
      <c r="A61" s="26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30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10"/>
      <c r="BZ61" s="11"/>
      <c r="CA61" s="11"/>
      <c r="CB61" s="11"/>
      <c r="CC61" s="11"/>
      <c r="CD61" s="11"/>
      <c r="CE61" s="11"/>
      <c r="CF61" s="11"/>
      <c r="CG61" s="11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</row>
    <row r="62" spans="2:199" ht="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10"/>
      <c r="BZ62" s="11"/>
      <c r="CA62" s="11"/>
      <c r="CB62" s="11"/>
      <c r="CC62" s="11"/>
      <c r="CD62" s="11"/>
      <c r="CE62" s="11"/>
      <c r="CF62" s="11"/>
      <c r="CG62" s="11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</row>
    <row r="63" spans="2:199" ht="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10"/>
      <c r="BZ63" s="11"/>
      <c r="CA63" s="11"/>
      <c r="CB63" s="11"/>
      <c r="CC63" s="11"/>
      <c r="CD63" s="11"/>
      <c r="CE63" s="11"/>
      <c r="CF63" s="11"/>
      <c r="CG63" s="11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</row>
    <row r="64" spans="16:199" ht="15"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10"/>
      <c r="BZ64" s="11"/>
      <c r="CA64" s="11"/>
      <c r="CB64" s="11"/>
      <c r="CC64" s="11"/>
      <c r="CD64" s="11"/>
      <c r="CE64" s="11"/>
      <c r="CF64" s="11"/>
      <c r="CG64" s="11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</row>
    <row r="65" spans="16:199" ht="15"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</row>
    <row r="66" spans="16:199" ht="15"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</row>
    <row r="67" spans="16:199" ht="15"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</row>
    <row r="68" spans="16:199" ht="15"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</row>
    <row r="69" spans="16:199" ht="15"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</row>
    <row r="70" spans="16:199" ht="15"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</row>
    <row r="71" spans="16:199" ht="15"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</row>
    <row r="72" spans="16:199" ht="15"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</row>
    <row r="73" spans="16:199" ht="15"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</row>
    <row r="74" spans="16:199" ht="15"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</row>
    <row r="75" spans="16:199" ht="15"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</row>
    <row r="76" spans="16:199" ht="15"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</row>
    <row r="77" spans="16:199" ht="15"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</row>
    <row r="78" spans="16:199" ht="15"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</row>
    <row r="79" spans="16:199" ht="15"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</row>
    <row r="80" spans="16:199" ht="15"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</row>
    <row r="81" spans="1:199" ht="1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</row>
    <row r="82" spans="1:199" ht="12.75" customHeight="1">
      <c r="A82" s="29"/>
      <c r="B82" s="29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29"/>
      <c r="N82" s="29"/>
      <c r="O82" s="29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</row>
    <row r="83" spans="1:199" ht="12.75" customHeight="1">
      <c r="A83" s="29"/>
      <c r="B83" s="29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29"/>
      <c r="N83" s="29"/>
      <c r="O83" s="29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</row>
    <row r="84" spans="1:199" ht="12.75" customHeight="1">
      <c r="A84" s="29"/>
      <c r="B84" s="29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29"/>
      <c r="N84" s="29"/>
      <c r="O84" s="29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</row>
    <row r="85" spans="1:199" ht="1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</row>
    <row r="86" spans="1:199" ht="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3"/>
      <c r="M86" s="33"/>
      <c r="N86" s="33"/>
      <c r="O86" s="33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</row>
    <row r="87" spans="1:199" ht="15">
      <c r="A87" s="32"/>
      <c r="B87" s="32"/>
      <c r="C87" s="32"/>
      <c r="D87" s="32"/>
      <c r="E87" s="32"/>
      <c r="F87" s="32"/>
      <c r="G87" s="32"/>
      <c r="H87" s="32"/>
      <c r="I87" s="32"/>
      <c r="J87" s="34"/>
      <c r="K87" s="34"/>
      <c r="L87" s="34"/>
      <c r="M87" s="34"/>
      <c r="N87" s="34"/>
      <c r="O87" s="34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</row>
    <row r="88" spans="1:199" ht="15">
      <c r="A88" s="35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</row>
    <row r="89" spans="1:199" ht="15">
      <c r="A89" s="35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</row>
    <row r="90" spans="1:199" ht="15">
      <c r="A90" s="35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</row>
    <row r="91" spans="1:199" ht="15">
      <c r="A91" s="35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</row>
    <row r="92" spans="1:199" ht="15">
      <c r="A92" s="35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</row>
    <row r="93" spans="1:199" ht="15">
      <c r="A93" s="35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</row>
    <row r="94" spans="1:199" ht="15">
      <c r="A94" s="35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</row>
    <row r="95" spans="1:199" ht="15">
      <c r="A95" s="35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</row>
    <row r="96" spans="1:199" ht="15">
      <c r="A96" s="35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</row>
    <row r="97" spans="1:199" ht="15">
      <c r="A97" s="35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</row>
    <row r="98" spans="1:199" ht="15">
      <c r="A98" s="35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</row>
    <row r="99" spans="1:199" ht="15">
      <c r="A99" s="35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</row>
    <row r="100" spans="1:199" ht="15">
      <c r="A100" s="35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</row>
    <row r="101" spans="1:199" ht="15">
      <c r="A101" s="35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</row>
    <row r="102" spans="1:199" ht="15">
      <c r="A102" s="35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</row>
    <row r="103" spans="1:199" ht="15">
      <c r="A103" s="35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</row>
    <row r="104" spans="1:199" ht="15">
      <c r="A104" s="35"/>
      <c r="B104" s="17"/>
      <c r="C104" s="17"/>
      <c r="D104" s="17"/>
      <c r="E104" s="16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</row>
    <row r="105" spans="1:199" ht="15">
      <c r="A105" s="35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</row>
    <row r="106" spans="1:199" ht="15">
      <c r="A106" s="35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</row>
    <row r="107" spans="1:199" ht="15">
      <c r="A107" s="35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</row>
    <row r="108" spans="1:199" ht="15">
      <c r="A108" s="35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</row>
    <row r="109" spans="1:199" ht="15">
      <c r="A109" s="35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</row>
    <row r="110" spans="1:199" ht="15">
      <c r="A110" s="35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</row>
    <row r="111" spans="1:199" ht="15">
      <c r="A111" s="35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</row>
    <row r="112" spans="1:199" ht="15">
      <c r="A112" s="35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</row>
    <row r="113" spans="1:199" ht="15">
      <c r="A113" s="35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</row>
    <row r="114" spans="1:199" ht="15">
      <c r="A114" s="35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</row>
    <row r="115" spans="1:199" ht="15">
      <c r="A115" s="35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</row>
    <row r="116" spans="1:199" ht="15">
      <c r="A116" s="35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</row>
    <row r="117" spans="1:199" ht="15">
      <c r="A117" s="35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</row>
    <row r="118" spans="1:199" ht="15">
      <c r="A118" s="35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</row>
    <row r="119" spans="1:199" ht="15">
      <c r="A119" s="35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</row>
    <row r="120" spans="1:199" ht="15">
      <c r="A120" s="3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</row>
    <row r="121" spans="1:199" ht="15">
      <c r="A121" s="35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</row>
    <row r="122" spans="1:199" ht="15">
      <c r="A122" s="35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</row>
    <row r="123" spans="1:199" ht="15">
      <c r="A123" s="35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</row>
    <row r="124" spans="1:199" ht="15">
      <c r="A124" s="35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</row>
    <row r="125" spans="1:199" ht="15">
      <c r="A125" s="36"/>
      <c r="B125" s="16"/>
      <c r="C125" s="16"/>
      <c r="D125" s="16"/>
      <c r="E125" s="16"/>
      <c r="F125" s="16"/>
      <c r="G125" s="16"/>
      <c r="H125" s="16"/>
      <c r="I125" s="16"/>
      <c r="J125" s="17"/>
      <c r="K125" s="17"/>
      <c r="L125" s="17"/>
      <c r="M125" s="17"/>
      <c r="N125" s="17"/>
      <c r="O125" s="1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</row>
    <row r="126" spans="1:199" ht="15">
      <c r="A126" s="3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</row>
    <row r="127" spans="1:199" ht="15">
      <c r="A127" s="35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</row>
    <row r="128" spans="1:199" ht="15">
      <c r="A128" s="35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</row>
    <row r="129" spans="1:199" ht="15">
      <c r="A129" s="35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</row>
    <row r="130" spans="1:199" ht="15">
      <c r="A130" s="35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</row>
    <row r="131" spans="1:199" ht="15">
      <c r="A131" s="35"/>
      <c r="B131" s="17"/>
      <c r="C131" s="17"/>
      <c r="D131" s="17"/>
      <c r="E131" s="17"/>
      <c r="F131" s="17"/>
      <c r="G131" s="37"/>
      <c r="H131" s="37"/>
      <c r="I131" s="37"/>
      <c r="J131" s="37"/>
      <c r="K131" s="17"/>
      <c r="L131" s="17"/>
      <c r="M131" s="17"/>
      <c r="N131" s="17"/>
      <c r="O131" s="1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</row>
    <row r="132" spans="1:199" ht="15">
      <c r="A132" s="35"/>
      <c r="B132" s="17"/>
      <c r="C132" s="17"/>
      <c r="D132" s="17"/>
      <c r="E132" s="17"/>
      <c r="F132" s="17"/>
      <c r="G132" s="37"/>
      <c r="H132" s="37"/>
      <c r="I132" s="37"/>
      <c r="J132" s="37"/>
      <c r="K132" s="17"/>
      <c r="L132" s="17"/>
      <c r="M132" s="17"/>
      <c r="N132" s="17"/>
      <c r="O132" s="1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</row>
    <row r="133" spans="1:199" ht="15">
      <c r="A133" s="29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</row>
    <row r="134" spans="1:199" ht="15">
      <c r="A134" s="29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</row>
    <row r="135" spans="1:199" ht="15">
      <c r="A135" s="29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</row>
    <row r="136" spans="1:199" ht="15">
      <c r="A136" s="29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</row>
    <row r="137" spans="1:199" ht="15">
      <c r="A137" s="29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</row>
    <row r="138" spans="1:199" ht="15">
      <c r="A138" s="29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</row>
    <row r="139" spans="1:199" ht="15">
      <c r="A139" s="29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</row>
    <row r="140" spans="1:199" ht="15">
      <c r="A140" s="29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</row>
    <row r="141" spans="1:199" ht="15">
      <c r="A141" s="29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</row>
    <row r="142" spans="1:199" ht="15">
      <c r="A142" s="29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</row>
    <row r="143" spans="1:199" ht="15">
      <c r="A143" s="29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</row>
    <row r="144" spans="1:199" ht="15">
      <c r="A144" s="29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</row>
    <row r="145" spans="1:199" ht="15">
      <c r="A145" s="29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</row>
    <row r="146" spans="1:199" ht="15">
      <c r="A146" s="29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</row>
    <row r="147" spans="2:199" ht="1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</row>
    <row r="148" spans="2:199" ht="1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</row>
    <row r="149" spans="2:199" ht="1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</row>
    <row r="150" spans="2:199" ht="1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</row>
    <row r="151" spans="2:199" ht="1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</row>
    <row r="152" spans="2:199" ht="1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</row>
    <row r="153" spans="2:199" ht="1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</row>
    <row r="154" spans="2:199" ht="1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</row>
    <row r="155" spans="2:199" ht="1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</row>
    <row r="156" spans="2:199" ht="1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</row>
    <row r="157" spans="2:199" ht="1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</row>
    <row r="158" spans="2:199" ht="1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</row>
    <row r="159" spans="2:199" ht="1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</row>
    <row r="160" spans="2:199" ht="1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</row>
    <row r="161" spans="2:199" ht="1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</row>
    <row r="162" spans="2:199" ht="1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</row>
    <row r="163" spans="2:199" ht="1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</row>
    <row r="164" spans="2:199" ht="1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</row>
    <row r="165" spans="2:199" ht="1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</row>
    <row r="166" spans="2:199" ht="1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</row>
    <row r="167" spans="2:199" ht="1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</row>
    <row r="168" spans="2:199" ht="1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</row>
    <row r="169" spans="2:199" ht="1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</row>
    <row r="170" spans="2:199" ht="1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</row>
    <row r="171" spans="2:199" ht="1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</row>
    <row r="172" spans="2:199" ht="1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</row>
    <row r="173" spans="2:199" ht="1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</row>
    <row r="174" spans="2:199" ht="1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</row>
    <row r="175" spans="2:199" ht="1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</row>
    <row r="176" spans="2:199" ht="1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</row>
    <row r="177" spans="2:199" ht="1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</row>
    <row r="178" spans="2:199" ht="1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</row>
    <row r="179" spans="2:199" ht="1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</row>
    <row r="180" spans="2:199" ht="1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</row>
    <row r="181" spans="2:199" ht="1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</row>
    <row r="182" spans="2:199" ht="1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</row>
    <row r="183" spans="2:199" ht="1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</row>
    <row r="184" spans="2:199" ht="1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</row>
    <row r="185" spans="2:199" ht="1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</row>
    <row r="186" spans="2:199" ht="1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</row>
    <row r="187" spans="2:199" ht="15">
      <c r="B187" s="9"/>
      <c r="C187" s="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</row>
    <row r="188" spans="2:199" ht="15">
      <c r="B188" s="9"/>
      <c r="C188" s="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</row>
    <row r="189" spans="2:199" ht="15">
      <c r="B189" s="9"/>
      <c r="C189" s="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</row>
    <row r="190" spans="2:199" ht="15">
      <c r="B190" s="9"/>
      <c r="C190" s="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</row>
    <row r="191" spans="2:199" ht="15">
      <c r="B191" s="9"/>
      <c r="C191" s="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</row>
    <row r="192" spans="2:199" ht="15">
      <c r="B192" s="9"/>
      <c r="C192" s="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</row>
    <row r="193" spans="2:199" ht="15">
      <c r="B193" s="9"/>
      <c r="C193" s="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</row>
    <row r="194" spans="2:199" ht="15">
      <c r="B194" s="9"/>
      <c r="C194" s="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</row>
    <row r="195" spans="2:199" ht="15">
      <c r="B195" s="9"/>
      <c r="C195" s="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</row>
    <row r="196" spans="2:199" ht="15">
      <c r="B196" s="9"/>
      <c r="C196" s="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</row>
    <row r="197" spans="2:199" ht="15">
      <c r="B197" s="9"/>
      <c r="C197" s="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</row>
    <row r="198" spans="2:199" ht="15">
      <c r="B198" s="9"/>
      <c r="C198" s="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</row>
    <row r="199" spans="2:199" ht="15">
      <c r="B199" s="9"/>
      <c r="C199" s="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</row>
    <row r="200" spans="2:199" ht="15">
      <c r="B200" s="9"/>
      <c r="C200" s="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</row>
    <row r="201" spans="2:199" ht="15">
      <c r="B201" s="9"/>
      <c r="C201" s="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</row>
    <row r="202" spans="2:199" ht="15">
      <c r="B202" s="9"/>
      <c r="C202" s="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</row>
    <row r="203" spans="2:199" ht="15">
      <c r="B203" s="9"/>
      <c r="C203" s="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</row>
    <row r="204" spans="2:199" ht="15">
      <c r="B204" s="9"/>
      <c r="C204" s="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</row>
    <row r="205" spans="2:199" ht="15">
      <c r="B205" s="9"/>
      <c r="C205" s="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</row>
    <row r="206" spans="2:199" ht="15">
      <c r="B206" s="9"/>
      <c r="C206" s="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</row>
    <row r="207" spans="2:199" ht="15">
      <c r="B207" s="9"/>
      <c r="C207" s="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</row>
    <row r="208" spans="2:199" ht="15">
      <c r="B208" s="9"/>
      <c r="C208" s="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</row>
    <row r="209" spans="2:199" ht="15">
      <c r="B209" s="9"/>
      <c r="C209" s="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</row>
    <row r="210" spans="2:199" ht="15">
      <c r="B210" s="9"/>
      <c r="C210" s="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</row>
    <row r="211" spans="2:199" ht="15">
      <c r="B211" s="9"/>
      <c r="C211" s="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</row>
    <row r="212" spans="2:199" ht="15">
      <c r="B212" s="9"/>
      <c r="C212" s="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</row>
    <row r="213" spans="2:199" ht="15">
      <c r="B213" s="9"/>
      <c r="C213" s="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</row>
    <row r="214" spans="2:199" ht="15">
      <c r="B214" s="9"/>
      <c r="C214" s="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</row>
    <row r="215" spans="2:199" ht="15">
      <c r="B215" s="9"/>
      <c r="C215" s="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</row>
    <row r="216" spans="2:199" ht="15">
      <c r="B216" s="9"/>
      <c r="C216" s="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</row>
    <row r="217" spans="2:199" ht="15">
      <c r="B217" s="9"/>
      <c r="C217" s="9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</row>
    <row r="218" spans="2:199" ht="15">
      <c r="B218" s="9"/>
      <c r="C218" s="9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</row>
    <row r="219" spans="2:199" ht="15">
      <c r="B219" s="9"/>
      <c r="C219" s="9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</row>
    <row r="220" spans="2:199" ht="15">
      <c r="B220" s="9"/>
      <c r="C220" s="9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</row>
    <row r="221" spans="2:199" ht="15">
      <c r="B221" s="9"/>
      <c r="C221" s="9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</row>
    <row r="222" spans="2:199" ht="15">
      <c r="B222" s="9"/>
      <c r="C222" s="9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</row>
    <row r="223" spans="2:199" ht="15">
      <c r="B223" s="9"/>
      <c r="C223" s="9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</row>
    <row r="224" spans="2:199" ht="15">
      <c r="B224" s="9"/>
      <c r="C224" s="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</row>
    <row r="225" spans="2:199" ht="15">
      <c r="B225" s="9"/>
      <c r="C225" s="9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</row>
    <row r="226" spans="2:199" ht="15">
      <c r="B226" s="9"/>
      <c r="C226" s="9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</row>
    <row r="227" spans="2:199" ht="15">
      <c r="B227" s="9"/>
      <c r="C227" s="9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</row>
    <row r="228" spans="2:199" ht="15">
      <c r="B228" s="9"/>
      <c r="C228" s="9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</row>
    <row r="229" spans="2:199" ht="15">
      <c r="B229" s="9"/>
      <c r="C229" s="9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</row>
    <row r="230" spans="2:199" ht="15">
      <c r="B230" s="9"/>
      <c r="C230" s="9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</row>
    <row r="231" spans="2:199" ht="15">
      <c r="B231" s="9"/>
      <c r="C231" s="9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</row>
    <row r="232" spans="2:199" ht="15">
      <c r="B232" s="9"/>
      <c r="C232" s="9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</row>
    <row r="233" spans="2:199" ht="15">
      <c r="B233" s="9"/>
      <c r="C233" s="9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</row>
    <row r="234" spans="2:199" ht="15">
      <c r="B234" s="9"/>
      <c r="C234" s="9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</row>
    <row r="235" spans="2:199" ht="15">
      <c r="B235" s="9"/>
      <c r="C235" s="9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</row>
    <row r="236" spans="2:199" ht="15">
      <c r="B236" s="9"/>
      <c r="C236" s="9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</row>
    <row r="237" spans="2:199" ht="15">
      <c r="B237" s="9"/>
      <c r="C237" s="9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</row>
    <row r="238" spans="2:199" ht="15">
      <c r="B238" s="9"/>
      <c r="C238" s="9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</row>
    <row r="239" spans="2:199" ht="15">
      <c r="B239" s="9"/>
      <c r="C239" s="9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</row>
    <row r="240" spans="2:199" ht="15">
      <c r="B240" s="9"/>
      <c r="C240" s="9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</row>
    <row r="241" spans="2:199" ht="15">
      <c r="B241" s="9"/>
      <c r="C241" s="9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</row>
    <row r="242" spans="2:199" ht="15">
      <c r="B242" s="9"/>
      <c r="C242" s="9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</row>
    <row r="243" spans="2:199" ht="15">
      <c r="B243" s="9"/>
      <c r="C243" s="9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</row>
    <row r="244" spans="2:199" ht="15">
      <c r="B244" s="9"/>
      <c r="C244" s="9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</row>
    <row r="245" spans="2:199" ht="15">
      <c r="B245" s="9"/>
      <c r="C245" s="9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</row>
    <row r="246" spans="2:199" ht="15">
      <c r="B246" s="9"/>
      <c r="C246" s="9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</row>
    <row r="247" spans="2:199" ht="15">
      <c r="B247" s="9"/>
      <c r="C247" s="9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</row>
    <row r="248" spans="2:199" ht="15">
      <c r="B248" s="9"/>
      <c r="C248" s="9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</row>
    <row r="249" spans="2:199" ht="15">
      <c r="B249" s="9"/>
      <c r="C249" s="9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</row>
    <row r="250" spans="2:199" ht="15">
      <c r="B250" s="9"/>
      <c r="C250" s="9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</row>
    <row r="251" spans="2:199" ht="15">
      <c r="B251" s="9"/>
      <c r="C251" s="9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</row>
    <row r="252" spans="2:199" ht="15">
      <c r="B252" s="9"/>
      <c r="C252" s="9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</row>
    <row r="253" spans="2:199" ht="15">
      <c r="B253" s="9"/>
      <c r="C253" s="9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</row>
    <row r="254" spans="2:199" ht="15">
      <c r="B254" s="9"/>
      <c r="C254" s="9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</row>
    <row r="255" spans="2:199" ht="15">
      <c r="B255" s="9"/>
      <c r="C255" s="9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</row>
    <row r="256" spans="2:199" ht="15">
      <c r="B256" s="9"/>
      <c r="C256" s="9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</row>
    <row r="257" spans="2:199" ht="15">
      <c r="B257" s="9"/>
      <c r="C257" s="9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</row>
    <row r="258" spans="2:199" ht="15">
      <c r="B258" s="9"/>
      <c r="C258" s="9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</row>
    <row r="259" spans="2:199" ht="15">
      <c r="B259" s="9"/>
      <c r="C259" s="9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</row>
    <row r="260" spans="2:199" ht="15">
      <c r="B260" s="9"/>
      <c r="C260" s="9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</row>
    <row r="261" spans="2:199" ht="15">
      <c r="B261" s="9"/>
      <c r="C261" s="9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</row>
    <row r="262" spans="2:199" ht="15">
      <c r="B262" s="9"/>
      <c r="C262" s="9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</row>
    <row r="263" spans="2:199" ht="15">
      <c r="B263" s="9"/>
      <c r="C263" s="9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</row>
    <row r="264" spans="2:199" ht="15">
      <c r="B264" s="9"/>
      <c r="C264" s="9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</row>
    <row r="265" spans="2:199" ht="15">
      <c r="B265" s="9"/>
      <c r="C265" s="9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</row>
    <row r="266" spans="2:199" ht="15">
      <c r="B266" s="9"/>
      <c r="C266" s="9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</row>
    <row r="267" spans="2:199" ht="15">
      <c r="B267" s="9"/>
      <c r="C267" s="9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</row>
    <row r="268" spans="2:199" ht="15">
      <c r="B268" s="9"/>
      <c r="C268" s="9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</row>
    <row r="269" spans="2:199" ht="15">
      <c r="B269" s="9"/>
      <c r="C269" s="9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</row>
    <row r="270" spans="2:199" ht="15">
      <c r="B270" s="9"/>
      <c r="C270" s="9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</row>
    <row r="271" spans="2:199" ht="15">
      <c r="B271" s="9"/>
      <c r="C271" s="9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</row>
    <row r="272" spans="2:199" ht="15">
      <c r="B272" s="9"/>
      <c r="C272" s="9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</row>
    <row r="273" spans="2:199" ht="15">
      <c r="B273" s="9"/>
      <c r="C273" s="9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</row>
    <row r="274" spans="2:199" ht="15">
      <c r="B274" s="9"/>
      <c r="C274" s="9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</row>
    <row r="275" spans="2:199" ht="15">
      <c r="B275" s="9"/>
      <c r="C275" s="9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</row>
    <row r="276" spans="2:199" ht="15">
      <c r="B276" s="9"/>
      <c r="C276" s="9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</row>
    <row r="277" spans="2:199" ht="15">
      <c r="B277" s="9"/>
      <c r="C277" s="9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</row>
    <row r="278" spans="2:199" ht="15">
      <c r="B278" s="9"/>
      <c r="C278" s="9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</row>
    <row r="279" spans="2:199" ht="15">
      <c r="B279" s="9"/>
      <c r="C279" s="9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</row>
    <row r="280" spans="2:199" ht="15">
      <c r="B280" s="9"/>
      <c r="C280" s="9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</row>
    <row r="281" spans="2:199" ht="15">
      <c r="B281" s="9"/>
      <c r="C281" s="9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</row>
    <row r="282" spans="2:199" ht="15">
      <c r="B282" s="9"/>
      <c r="C282" s="9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</row>
    <row r="283" spans="2:199" ht="15">
      <c r="B283" s="9"/>
      <c r="C283" s="9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</row>
    <row r="284" spans="2:199" ht="15">
      <c r="B284" s="9"/>
      <c r="C284" s="9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</row>
    <row r="285" spans="2:199" ht="15">
      <c r="B285" s="9"/>
      <c r="C285" s="9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</row>
    <row r="286" spans="2:199" ht="15">
      <c r="B286" s="9"/>
      <c r="C286" s="9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</row>
    <row r="287" spans="2:199" ht="15">
      <c r="B287" s="9"/>
      <c r="C287" s="9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</row>
    <row r="288" spans="2:199" ht="15">
      <c r="B288" s="9"/>
      <c r="C288" s="9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</row>
    <row r="289" spans="2:199" ht="15">
      <c r="B289" s="9"/>
      <c r="C289" s="9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</row>
    <row r="290" spans="2:199" ht="15">
      <c r="B290" s="9"/>
      <c r="C290" s="9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</row>
    <row r="291" spans="2:199" ht="15">
      <c r="B291" s="9"/>
      <c r="C291" s="9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</row>
    <row r="292" spans="2:199" ht="15">
      <c r="B292" s="9"/>
      <c r="C292" s="9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</row>
    <row r="293" spans="2:199" ht="15">
      <c r="B293" s="9"/>
      <c r="C293" s="9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</row>
    <row r="294" spans="2:199" ht="15">
      <c r="B294" s="9"/>
      <c r="C294" s="9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</row>
    <row r="295" spans="2:199" ht="15">
      <c r="B295" s="9"/>
      <c r="C295" s="9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</row>
    <row r="296" spans="2:199" ht="15">
      <c r="B296" s="9"/>
      <c r="C296" s="9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</row>
    <row r="297" spans="2:199" ht="15">
      <c r="B297" s="9"/>
      <c r="C297" s="9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</row>
    <row r="298" spans="2:199" ht="15">
      <c r="B298" s="9"/>
      <c r="C298" s="9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</row>
    <row r="299" spans="2:199" ht="15">
      <c r="B299" s="9"/>
      <c r="C299" s="9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</row>
    <row r="300" spans="2:199" ht="15">
      <c r="B300" s="9"/>
      <c r="C300" s="9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</row>
    <row r="301" spans="2:199" ht="15">
      <c r="B301" s="9"/>
      <c r="C301" s="9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</row>
    <row r="302" spans="2:199" ht="15">
      <c r="B302" s="9"/>
      <c r="C302" s="9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</row>
    <row r="303" spans="2:199" ht="15">
      <c r="B303" s="9"/>
      <c r="C303" s="9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</row>
    <row r="304" spans="2:199" ht="15">
      <c r="B304" s="9"/>
      <c r="C304" s="9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</row>
    <row r="305" spans="2:199" ht="15">
      <c r="B305" s="9"/>
      <c r="C305" s="9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</row>
    <row r="306" spans="2:199" ht="15">
      <c r="B306" s="9"/>
      <c r="C306" s="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</row>
    <row r="307" spans="2:199" ht="15">
      <c r="B307" s="9"/>
      <c r="C307" s="9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</row>
    <row r="308" spans="2:199" ht="15">
      <c r="B308" s="9"/>
      <c r="C308" s="9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</row>
    <row r="309" spans="2:199" ht="15">
      <c r="B309" s="9"/>
      <c r="C309" s="9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</row>
    <row r="310" spans="2:199" ht="15">
      <c r="B310" s="9"/>
      <c r="C310" s="9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</row>
    <row r="311" spans="2:199" ht="15">
      <c r="B311" s="9"/>
      <c r="C311" s="9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</row>
    <row r="312" spans="2:199" ht="15">
      <c r="B312" s="9"/>
      <c r="C312" s="9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</row>
    <row r="313" spans="2:199" ht="15">
      <c r="B313" s="9"/>
      <c r="C313" s="9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</row>
    <row r="314" spans="2:199" ht="15">
      <c r="B314" s="9"/>
      <c r="C314" s="9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</row>
    <row r="315" spans="2:199" ht="15">
      <c r="B315" s="9"/>
      <c r="C315" s="9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</row>
    <row r="316" spans="2:199" ht="15">
      <c r="B316" s="9"/>
      <c r="C316" s="9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</row>
    <row r="317" spans="2:199" ht="15">
      <c r="B317" s="9"/>
      <c r="C317" s="9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</row>
    <row r="318" spans="2:199" ht="15">
      <c r="B318" s="9"/>
      <c r="C318" s="9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</row>
    <row r="319" spans="2:199" ht="15">
      <c r="B319" s="9"/>
      <c r="C319" s="9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</row>
    <row r="320" spans="2:199" ht="15">
      <c r="B320" s="9"/>
      <c r="C320" s="9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</row>
    <row r="321" spans="2:199" ht="15">
      <c r="B321" s="9"/>
      <c r="C321" s="9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</row>
    <row r="322" spans="2:199" ht="15">
      <c r="B322" s="9"/>
      <c r="C322" s="9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</row>
    <row r="323" spans="2:199" ht="15">
      <c r="B323" s="9"/>
      <c r="C323" s="9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</row>
    <row r="324" spans="2:199" ht="15">
      <c r="B324" s="9"/>
      <c r="C324" s="9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</row>
    <row r="325" spans="2:199" ht="15">
      <c r="B325" s="9"/>
      <c r="C325" s="9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</row>
    <row r="326" spans="2:199" ht="15">
      <c r="B326" s="9"/>
      <c r="C326" s="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</row>
    <row r="327" spans="2:199" ht="15">
      <c r="B327" s="9"/>
      <c r="C327" s="9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</row>
    <row r="328" spans="2:199" ht="15">
      <c r="B328" s="9"/>
      <c r="C328" s="9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</row>
    <row r="329" spans="2:199" ht="15">
      <c r="B329" s="9"/>
      <c r="C329" s="9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</row>
    <row r="330" spans="2:199" ht="15">
      <c r="B330" s="9"/>
      <c r="C330" s="9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</row>
    <row r="331" spans="2:199" ht="15">
      <c r="B331" s="9"/>
      <c r="C331" s="9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</row>
    <row r="332" spans="2:199" ht="15">
      <c r="B332" s="9"/>
      <c r="C332" s="9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</row>
    <row r="333" spans="2:199" ht="15">
      <c r="B333" s="9"/>
      <c r="C333" s="9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</row>
    <row r="334" spans="2:199" ht="15">
      <c r="B334" s="9"/>
      <c r="C334" s="9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</row>
    <row r="335" spans="2:199" ht="15">
      <c r="B335" s="9"/>
      <c r="C335" s="9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</row>
    <row r="336" spans="2:199" ht="15">
      <c r="B336" s="9"/>
      <c r="C336" s="9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</row>
    <row r="337" spans="2:199" ht="15">
      <c r="B337" s="9"/>
      <c r="C337" s="9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</row>
    <row r="338" spans="2:199" ht="15">
      <c r="B338" s="9"/>
      <c r="C338" s="9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</row>
    <row r="339" spans="2:199" ht="15">
      <c r="B339" s="9"/>
      <c r="C339" s="9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</row>
    <row r="340" spans="2:199" ht="15">
      <c r="B340" s="9"/>
      <c r="C340" s="9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</row>
    <row r="341" spans="2:199" ht="15">
      <c r="B341" s="9"/>
      <c r="C341" s="9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</row>
    <row r="342" spans="2:199" ht="15">
      <c r="B342" s="9"/>
      <c r="C342" s="9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</row>
    <row r="343" spans="2:199" ht="15">
      <c r="B343" s="9"/>
      <c r="C343" s="9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</row>
    <row r="344" spans="2:199" ht="15">
      <c r="B344" s="9"/>
      <c r="C344" s="9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</row>
    <row r="345" spans="2:199" ht="15">
      <c r="B345" s="9"/>
      <c r="C345" s="9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</row>
    <row r="346" spans="2:199" ht="15">
      <c r="B346" s="9"/>
      <c r="C346" s="9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</row>
    <row r="347" spans="2:199" ht="15">
      <c r="B347" s="9"/>
      <c r="C347" s="9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</row>
    <row r="348" spans="2:199" ht="15">
      <c r="B348" s="9"/>
      <c r="C348" s="9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</row>
    <row r="349" spans="2:199" ht="15">
      <c r="B349" s="9"/>
      <c r="C349" s="9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</row>
    <row r="350" spans="2:199" ht="15">
      <c r="B350" s="9"/>
      <c r="C350" s="9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</row>
    <row r="351" spans="2:199" ht="15">
      <c r="B351" s="9"/>
      <c r="C351" s="9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</row>
    <row r="352" spans="2:199" ht="15">
      <c r="B352" s="9"/>
      <c r="C352" s="9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</row>
    <row r="353" spans="2:199" ht="15">
      <c r="B353" s="9"/>
      <c r="C353" s="9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</row>
    <row r="354" spans="2:199" ht="15">
      <c r="B354" s="9"/>
      <c r="C354" s="9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</row>
    <row r="355" spans="2:199" ht="15">
      <c r="B355" s="9"/>
      <c r="C355" s="9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</row>
    <row r="356" spans="2:199" ht="15">
      <c r="B356" s="9"/>
      <c r="C356" s="9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</row>
    <row r="357" spans="2:199" ht="15">
      <c r="B357" s="9"/>
      <c r="C357" s="9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</row>
    <row r="358" spans="2:199" ht="15">
      <c r="B358" s="9"/>
      <c r="C358" s="9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</row>
    <row r="359" spans="2:199" ht="15">
      <c r="B359" s="9"/>
      <c r="C359" s="9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</row>
    <row r="360" spans="2:199" ht="15">
      <c r="B360" s="9"/>
      <c r="C360" s="9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</row>
    <row r="361" spans="2:199" ht="15">
      <c r="B361" s="9"/>
      <c r="C361" s="9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</row>
    <row r="362" spans="2:199" ht="15">
      <c r="B362" s="9"/>
      <c r="C362" s="9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</row>
    <row r="363" spans="2:199" ht="15">
      <c r="B363" s="9"/>
      <c r="C363" s="9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</row>
    <row r="364" spans="2:199" ht="15">
      <c r="B364" s="9"/>
      <c r="C364" s="9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</row>
    <row r="365" spans="2:199" ht="15">
      <c r="B365" s="9"/>
      <c r="C365" s="9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</row>
    <row r="366" spans="2:199" ht="15">
      <c r="B366" s="9"/>
      <c r="C366" s="9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</row>
    <row r="367" spans="2:199" ht="15">
      <c r="B367" s="9"/>
      <c r="C367" s="9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</row>
    <row r="368" spans="2:199" ht="15">
      <c r="B368" s="9"/>
      <c r="C368" s="9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</row>
    <row r="369" spans="2:199" ht="15">
      <c r="B369" s="9"/>
      <c r="C369" s="9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</row>
    <row r="370" spans="2:199" ht="15">
      <c r="B370" s="9"/>
      <c r="C370" s="9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</row>
    <row r="371" spans="2:199" ht="15">
      <c r="B371" s="9"/>
      <c r="C371" s="9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</row>
    <row r="372" spans="2:199" ht="15">
      <c r="B372" s="9"/>
      <c r="C372" s="9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</row>
    <row r="373" spans="2:199" ht="15">
      <c r="B373" s="9"/>
      <c r="C373" s="9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</row>
    <row r="374" spans="2:199" ht="15">
      <c r="B374" s="9"/>
      <c r="C374" s="9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</row>
    <row r="375" spans="2:199" ht="15">
      <c r="B375" s="9"/>
      <c r="C375" s="9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</row>
    <row r="376" spans="2:199" ht="15">
      <c r="B376" s="9"/>
      <c r="C376" s="9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</row>
    <row r="377" spans="2:199" ht="15">
      <c r="B377" s="9"/>
      <c r="C377" s="9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</row>
    <row r="378" spans="2:199" ht="15">
      <c r="B378" s="9"/>
      <c r="C378" s="9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</row>
    <row r="379" spans="2:199" ht="15">
      <c r="B379" s="9"/>
      <c r="C379" s="9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</row>
    <row r="380" spans="2:199" ht="15">
      <c r="B380" s="9"/>
      <c r="C380" s="9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</row>
    <row r="381" spans="2:199" ht="15">
      <c r="B381" s="9"/>
      <c r="C381" s="9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</row>
    <row r="382" spans="2:199" ht="15">
      <c r="B382" s="9"/>
      <c r="C382" s="9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</row>
    <row r="383" spans="2:199" ht="15">
      <c r="B383" s="9"/>
      <c r="C383" s="9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</row>
    <row r="384" spans="2:199" ht="15">
      <c r="B384" s="9"/>
      <c r="C384" s="9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</row>
    <row r="385" spans="2:199" ht="15">
      <c r="B385" s="9"/>
      <c r="C385" s="9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</row>
    <row r="386" spans="2:199" ht="15">
      <c r="B386" s="9"/>
      <c r="C386" s="9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</row>
    <row r="387" spans="2:199" ht="15">
      <c r="B387" s="9"/>
      <c r="C387" s="9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</row>
    <row r="388" spans="2:199" ht="15">
      <c r="B388" s="9"/>
      <c r="C388" s="9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</row>
    <row r="389" spans="2:199" ht="15">
      <c r="B389" s="9"/>
      <c r="C389" s="9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</row>
    <row r="390" spans="2:199" ht="15">
      <c r="B390" s="9"/>
      <c r="C390" s="9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</row>
    <row r="391" spans="2:199" ht="15">
      <c r="B391" s="9"/>
      <c r="C391" s="9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</row>
    <row r="392" spans="2:199" ht="15">
      <c r="B392" s="9"/>
      <c r="C392" s="9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</row>
    <row r="393" spans="2:199" ht="15">
      <c r="B393" s="9"/>
      <c r="C393" s="9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</row>
    <row r="394" spans="2:199" ht="15">
      <c r="B394" s="9"/>
      <c r="C394" s="9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</row>
    <row r="395" spans="2:199" ht="15">
      <c r="B395" s="9"/>
      <c r="C395" s="9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</row>
    <row r="396" spans="2:199" ht="15">
      <c r="B396" s="9"/>
      <c r="C396" s="9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</row>
    <row r="397" spans="2:199" ht="15">
      <c r="B397" s="9"/>
      <c r="C397" s="9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</row>
    <row r="398" spans="2:199" ht="15">
      <c r="B398" s="9"/>
      <c r="C398" s="9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</row>
    <row r="399" spans="2:199" ht="15">
      <c r="B399" s="9"/>
      <c r="C399" s="9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</row>
    <row r="400" spans="2:199" ht="15">
      <c r="B400" s="9"/>
      <c r="C400" s="9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</row>
    <row r="401" spans="2:199" ht="15">
      <c r="B401" s="9"/>
      <c r="C401" s="9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</row>
    <row r="402" spans="2:199" ht="15">
      <c r="B402" s="9"/>
      <c r="C402" s="9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</row>
    <row r="403" spans="2:199" ht="15">
      <c r="B403" s="9"/>
      <c r="C403" s="9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</row>
    <row r="404" spans="2:199" ht="15">
      <c r="B404" s="9"/>
      <c r="C404" s="9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</row>
    <row r="405" spans="2:199" ht="15">
      <c r="B405" s="9"/>
      <c r="C405" s="9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</row>
    <row r="406" spans="2:199" ht="15">
      <c r="B406" s="9"/>
      <c r="C406" s="9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</row>
    <row r="407" spans="2:199" ht="15">
      <c r="B407" s="9"/>
      <c r="C407" s="9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</row>
    <row r="408" spans="2:199" ht="15">
      <c r="B408" s="9"/>
      <c r="C408" s="9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</row>
    <row r="409" spans="2:199" ht="15">
      <c r="B409" s="9"/>
      <c r="C409" s="9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</row>
    <row r="410" spans="2:199" ht="15">
      <c r="B410" s="9"/>
      <c r="C410" s="9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</row>
    <row r="411" spans="2:199" ht="15">
      <c r="B411" s="9"/>
      <c r="C411" s="9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</row>
    <row r="412" spans="2:199" ht="15">
      <c r="B412" s="9"/>
      <c r="C412" s="9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</row>
    <row r="413" spans="2:199" ht="15">
      <c r="B413" s="9"/>
      <c r="C413" s="9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</row>
    <row r="414" spans="2:199" ht="15">
      <c r="B414" s="9"/>
      <c r="C414" s="9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</row>
    <row r="415" spans="2:199" ht="15">
      <c r="B415" s="9"/>
      <c r="C415" s="9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</row>
    <row r="416" spans="2:199" ht="15">
      <c r="B416" s="9"/>
      <c r="C416" s="9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</row>
    <row r="417" spans="2:199" ht="15">
      <c r="B417" s="9"/>
      <c r="C417" s="9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</row>
    <row r="418" spans="2:199" ht="15">
      <c r="B418" s="9"/>
      <c r="C418" s="9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</row>
    <row r="419" spans="2:199" ht="15">
      <c r="B419" s="9"/>
      <c r="C419" s="9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</row>
    <row r="420" spans="2:199" ht="15">
      <c r="B420" s="9"/>
      <c r="C420" s="9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</row>
    <row r="421" spans="2:199" ht="15">
      <c r="B421" s="9"/>
      <c r="C421" s="9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</row>
    <row r="422" spans="2:199" ht="15">
      <c r="B422" s="9"/>
      <c r="C422" s="9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</row>
    <row r="423" spans="2:199" ht="15">
      <c r="B423" s="9"/>
      <c r="C423" s="9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</row>
    <row r="424" spans="2:199" ht="15">
      <c r="B424" s="9"/>
      <c r="C424" s="9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</row>
    <row r="425" spans="2:199" ht="15">
      <c r="B425" s="9"/>
      <c r="C425" s="9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</row>
    <row r="426" spans="2:199" ht="15">
      <c r="B426" s="9"/>
      <c r="C426" s="9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</row>
    <row r="427" spans="2:199" ht="15">
      <c r="B427" s="9"/>
      <c r="C427" s="9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</row>
    <row r="428" spans="2:199" ht="15">
      <c r="B428" s="9"/>
      <c r="C428" s="9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</row>
    <row r="429" spans="2:199" ht="15">
      <c r="B429" s="9"/>
      <c r="C429" s="9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</row>
    <row r="430" spans="2:199" ht="15">
      <c r="B430" s="9"/>
      <c r="C430" s="9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</row>
    <row r="431" spans="2:199" ht="15">
      <c r="B431" s="9"/>
      <c r="C431" s="9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</row>
    <row r="432" spans="2:199" ht="15">
      <c r="B432" s="9"/>
      <c r="C432" s="9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</row>
    <row r="433" spans="2:199" ht="15">
      <c r="B433" s="9"/>
      <c r="C433" s="9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</row>
    <row r="434" spans="2:199" ht="15">
      <c r="B434" s="9"/>
      <c r="C434" s="9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</row>
    <row r="435" spans="2:199" ht="15">
      <c r="B435" s="9"/>
      <c r="C435" s="9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</row>
    <row r="436" spans="2:199" ht="15">
      <c r="B436" s="9"/>
      <c r="C436" s="9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</row>
    <row r="437" spans="2:199" ht="15">
      <c r="B437" s="9"/>
      <c r="C437" s="9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</row>
    <row r="438" spans="2:199" ht="15">
      <c r="B438" s="9"/>
      <c r="C438" s="9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</row>
    <row r="439" spans="2:199" ht="15">
      <c r="B439" s="9"/>
      <c r="C439" s="9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</row>
    <row r="440" spans="2:199" ht="15">
      <c r="B440" s="9"/>
      <c r="C440" s="9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</row>
    <row r="441" spans="2:199" ht="15">
      <c r="B441" s="9"/>
      <c r="C441" s="9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</row>
    <row r="442" spans="2:199" ht="15">
      <c r="B442" s="9"/>
      <c r="C442" s="9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</row>
    <row r="443" spans="2:199" ht="15">
      <c r="B443" s="9"/>
      <c r="C443" s="9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</row>
    <row r="444" spans="2:199" ht="15">
      <c r="B444" s="9"/>
      <c r="C444" s="9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</row>
    <row r="445" spans="2:199" ht="15">
      <c r="B445" s="9"/>
      <c r="C445" s="9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</row>
    <row r="446" spans="2:199" ht="15">
      <c r="B446" s="9"/>
      <c r="C446" s="9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</row>
    <row r="447" spans="2:199" ht="15">
      <c r="B447" s="9"/>
      <c r="C447" s="9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</row>
    <row r="448" spans="2:199" ht="15">
      <c r="B448" s="9"/>
      <c r="C448" s="9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</row>
    <row r="449" spans="2:199" ht="15">
      <c r="B449" s="9"/>
      <c r="C449" s="9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</row>
    <row r="450" spans="2:199" ht="15">
      <c r="B450" s="9"/>
      <c r="C450" s="9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</row>
    <row r="451" spans="2:199" ht="15">
      <c r="B451" s="9"/>
      <c r="C451" s="9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</row>
    <row r="452" spans="2:199" ht="15">
      <c r="B452" s="9"/>
      <c r="C452" s="9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</row>
    <row r="453" spans="2:199" ht="15">
      <c r="B453" s="9"/>
      <c r="C453" s="9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</row>
    <row r="454" spans="2:199" ht="15">
      <c r="B454" s="9"/>
      <c r="C454" s="9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</row>
    <row r="455" spans="2:199" ht="15">
      <c r="B455" s="9"/>
      <c r="C455" s="9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</row>
    <row r="456" spans="2:199" ht="15">
      <c r="B456" s="9"/>
      <c r="C456" s="9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</row>
    <row r="457" spans="2:199" ht="15">
      <c r="B457" s="9"/>
      <c r="C457" s="9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</row>
    <row r="458" spans="2:199" ht="15">
      <c r="B458" s="9"/>
      <c r="C458" s="9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</row>
    <row r="459" spans="2:199" ht="15">
      <c r="B459" s="9"/>
      <c r="C459" s="9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</row>
    <row r="460" spans="2:199" ht="15">
      <c r="B460" s="9"/>
      <c r="C460" s="9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</row>
    <row r="461" spans="2:199" ht="15">
      <c r="B461" s="9"/>
      <c r="C461" s="9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</row>
    <row r="462" spans="2:199" ht="15">
      <c r="B462" s="9"/>
      <c r="C462" s="9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</row>
    <row r="463" spans="2:199" ht="15">
      <c r="B463" s="9"/>
      <c r="C463" s="9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</row>
    <row r="464" spans="2:199" ht="15">
      <c r="B464" s="9"/>
      <c r="C464" s="9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</row>
    <row r="465" spans="2:199" ht="15">
      <c r="B465" s="9"/>
      <c r="C465" s="9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</row>
    <row r="466" spans="2:199" ht="15">
      <c r="B466" s="9"/>
      <c r="C466" s="9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</row>
    <row r="467" spans="2:199" ht="15">
      <c r="B467" s="9"/>
      <c r="C467" s="9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</row>
    <row r="468" spans="2:199" ht="15">
      <c r="B468" s="9"/>
      <c r="C468" s="9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</row>
    <row r="469" spans="2:199" ht="15">
      <c r="B469" s="9"/>
      <c r="C469" s="9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</row>
    <row r="470" spans="2:199" ht="15">
      <c r="B470" s="9"/>
      <c r="C470" s="9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</row>
    <row r="471" spans="2:199" ht="15">
      <c r="B471" s="9"/>
      <c r="C471" s="9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</row>
    <row r="472" spans="2:199" ht="15">
      <c r="B472" s="9"/>
      <c r="C472" s="9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</row>
    <row r="473" spans="2:199" ht="15">
      <c r="B473" s="9"/>
      <c r="C473" s="9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</row>
    <row r="474" spans="2:199" ht="15">
      <c r="B474" s="9"/>
      <c r="C474" s="9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</row>
    <row r="475" spans="2:199" ht="15">
      <c r="B475" s="9"/>
      <c r="C475" s="9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</row>
    <row r="476" spans="2:199" ht="15">
      <c r="B476" s="9"/>
      <c r="C476" s="9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</row>
    <row r="477" spans="2:199" ht="15">
      <c r="B477" s="9"/>
      <c r="C477" s="9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</row>
    <row r="478" spans="2:199" ht="15">
      <c r="B478" s="9"/>
      <c r="C478" s="9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</row>
    <row r="479" spans="2:199" ht="15">
      <c r="B479" s="9"/>
      <c r="C479" s="9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</row>
    <row r="480" spans="2:199" ht="15">
      <c r="B480" s="9"/>
      <c r="C480" s="9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</row>
    <row r="481" spans="2:199" ht="15">
      <c r="B481" s="9"/>
      <c r="C481" s="9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</row>
    <row r="482" spans="2:199" ht="15">
      <c r="B482" s="9"/>
      <c r="C482" s="9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</row>
    <row r="483" spans="2:199" ht="15">
      <c r="B483" s="9"/>
      <c r="C483" s="9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  <c r="GA483" s="9"/>
      <c r="GB483" s="9"/>
      <c r="GC483" s="9"/>
      <c r="GD483" s="9"/>
      <c r="GE483" s="9"/>
      <c r="GF483" s="9"/>
      <c r="GG483" s="9"/>
      <c r="GH483" s="9"/>
      <c r="GI483" s="9"/>
      <c r="GJ483" s="9"/>
      <c r="GK483" s="9"/>
      <c r="GL483" s="9"/>
      <c r="GM483" s="9"/>
      <c r="GN483" s="9"/>
      <c r="GO483" s="9"/>
      <c r="GP483" s="9"/>
      <c r="GQ483" s="9"/>
    </row>
    <row r="484" spans="2:199" ht="15">
      <c r="B484" s="9"/>
      <c r="C484" s="9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</row>
    <row r="485" spans="2:199" ht="15">
      <c r="B485" s="9"/>
      <c r="C485" s="9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</row>
    <row r="486" spans="2:199" ht="15">
      <c r="B486" s="9"/>
      <c r="C486" s="9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</row>
    <row r="487" spans="2:199" ht="15">
      <c r="B487" s="9"/>
      <c r="C487" s="9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</row>
    <row r="488" spans="2:199" ht="15">
      <c r="B488" s="9"/>
      <c r="C488" s="9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</row>
    <row r="489" spans="2:199" ht="15">
      <c r="B489" s="9"/>
      <c r="C489" s="9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</row>
    <row r="490" spans="2:199" ht="15">
      <c r="B490" s="9"/>
      <c r="C490" s="9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</row>
    <row r="491" spans="2:199" ht="15">
      <c r="B491" s="9"/>
      <c r="C491" s="9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</row>
    <row r="492" spans="2:199" ht="15">
      <c r="B492" s="9"/>
      <c r="C492" s="9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</row>
    <row r="493" spans="2:199" ht="15">
      <c r="B493" s="9"/>
      <c r="C493" s="9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</row>
    <row r="494" spans="2:199" ht="15">
      <c r="B494" s="9"/>
      <c r="C494" s="9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</row>
    <row r="495" spans="2:199" ht="15">
      <c r="B495" s="9"/>
      <c r="C495" s="9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</row>
    <row r="496" spans="2:199" ht="15">
      <c r="B496" s="9"/>
      <c r="C496" s="9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</row>
    <row r="497" spans="2:199" ht="15">
      <c r="B497" s="9"/>
      <c r="C497" s="9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</row>
    <row r="498" spans="2:199" ht="15">
      <c r="B498" s="9"/>
      <c r="C498" s="9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</row>
    <row r="499" spans="2:199" ht="15">
      <c r="B499" s="9"/>
      <c r="C499" s="9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</row>
    <row r="500" spans="2:199" ht="15">
      <c r="B500" s="9"/>
      <c r="C500" s="9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</row>
    <row r="501" spans="2:199" ht="15">
      <c r="B501" s="9"/>
      <c r="C501" s="9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</row>
    <row r="502" spans="2:199" ht="15">
      <c r="B502" s="9"/>
      <c r="C502" s="9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</row>
    <row r="503" spans="2:199" ht="15">
      <c r="B503" s="9"/>
      <c r="C503" s="9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</row>
    <row r="504" spans="2:199" ht="15">
      <c r="B504" s="9"/>
      <c r="C504" s="9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</row>
    <row r="505" spans="2:199" ht="15">
      <c r="B505" s="9"/>
      <c r="C505" s="9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</row>
    <row r="506" spans="2:199" ht="15">
      <c r="B506" s="9"/>
      <c r="C506" s="9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</row>
    <row r="507" spans="2:199" ht="15">
      <c r="B507" s="9"/>
      <c r="C507" s="9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</row>
    <row r="508" spans="2:199" ht="15">
      <c r="B508" s="9"/>
      <c r="C508" s="9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</row>
    <row r="509" spans="2:199" ht="15">
      <c r="B509" s="9"/>
      <c r="C509" s="9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</row>
    <row r="510" spans="2:199" ht="15">
      <c r="B510" s="9"/>
      <c r="C510" s="9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</row>
    <row r="511" spans="2:199" ht="15">
      <c r="B511" s="9"/>
      <c r="C511" s="9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</row>
    <row r="512" spans="2:199" ht="15">
      <c r="B512" s="9"/>
      <c r="C512" s="9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</row>
    <row r="513" spans="2:199" ht="15">
      <c r="B513" s="9"/>
      <c r="C513" s="9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</row>
    <row r="514" spans="2:199" ht="15">
      <c r="B514" s="9"/>
      <c r="C514" s="9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</row>
    <row r="515" spans="2:199" ht="15">
      <c r="B515" s="9"/>
      <c r="C515" s="9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</row>
    <row r="516" spans="2:199" ht="15">
      <c r="B516" s="9"/>
      <c r="C516" s="9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</row>
    <row r="517" spans="2:199" ht="15">
      <c r="B517" s="9"/>
      <c r="C517" s="9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</row>
    <row r="518" spans="2:199" ht="15">
      <c r="B518" s="9"/>
      <c r="C518" s="9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</row>
    <row r="519" spans="2:199" ht="15">
      <c r="B519" s="9"/>
      <c r="C519" s="9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</row>
    <row r="520" spans="2:199" ht="15">
      <c r="B520" s="9"/>
      <c r="C520" s="9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</row>
    <row r="521" spans="2:199" ht="15">
      <c r="B521" s="9"/>
      <c r="C521" s="9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</row>
    <row r="522" spans="2:199" ht="15">
      <c r="B522" s="9"/>
      <c r="C522" s="9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</row>
    <row r="523" spans="2:199" ht="15">
      <c r="B523" s="9"/>
      <c r="C523" s="9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</row>
    <row r="524" spans="2:199" ht="15">
      <c r="B524" s="9"/>
      <c r="C524" s="9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</row>
    <row r="525" spans="2:199" ht="15">
      <c r="B525" s="9"/>
      <c r="C525" s="9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</row>
    <row r="526" spans="2:199" ht="15">
      <c r="B526" s="9"/>
      <c r="C526" s="9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</row>
    <row r="527" spans="2:199" ht="15">
      <c r="B527" s="9"/>
      <c r="C527" s="9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</row>
    <row r="528" spans="2:199" ht="15">
      <c r="B528" s="9"/>
      <c r="C528" s="9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  <c r="GA528" s="9"/>
      <c r="GB528" s="9"/>
      <c r="GC528" s="9"/>
      <c r="GD528" s="9"/>
      <c r="GE528" s="9"/>
      <c r="GF528" s="9"/>
      <c r="GG528" s="9"/>
      <c r="GH528" s="9"/>
      <c r="GI528" s="9"/>
      <c r="GJ528" s="9"/>
      <c r="GK528" s="9"/>
      <c r="GL528" s="9"/>
      <c r="GM528" s="9"/>
      <c r="GN528" s="9"/>
      <c r="GO528" s="9"/>
      <c r="GP528" s="9"/>
      <c r="GQ528" s="9"/>
    </row>
    <row r="529" spans="2:199" ht="15">
      <c r="B529" s="9"/>
      <c r="C529" s="9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</row>
    <row r="530" spans="2:199" ht="15">
      <c r="B530" s="9"/>
      <c r="C530" s="9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</row>
    <row r="531" spans="2:199" ht="15">
      <c r="B531" s="9"/>
      <c r="C531" s="9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</row>
    <row r="532" spans="2:199" ht="15">
      <c r="B532" s="9"/>
      <c r="C532" s="9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  <c r="GA532" s="9"/>
      <c r="GB532" s="9"/>
      <c r="GC532" s="9"/>
      <c r="GD532" s="9"/>
      <c r="GE532" s="9"/>
      <c r="GF532" s="9"/>
      <c r="GG532" s="9"/>
      <c r="GH532" s="9"/>
      <c r="GI532" s="9"/>
      <c r="GJ532" s="9"/>
      <c r="GK532" s="9"/>
      <c r="GL532" s="9"/>
      <c r="GM532" s="9"/>
      <c r="GN532" s="9"/>
      <c r="GO532" s="9"/>
      <c r="GP532" s="9"/>
      <c r="GQ532" s="9"/>
    </row>
    <row r="533" spans="2:199" ht="15">
      <c r="B533" s="9"/>
      <c r="C533" s="9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</row>
    <row r="534" spans="2:199" ht="15">
      <c r="B534" s="9"/>
      <c r="C534" s="9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</row>
    <row r="535" spans="2:199" ht="15">
      <c r="B535" s="9"/>
      <c r="C535" s="9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</row>
    <row r="536" spans="2:199" ht="15">
      <c r="B536" s="9"/>
      <c r="C536" s="9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9"/>
      <c r="GN536" s="9"/>
      <c r="GO536" s="9"/>
      <c r="GP536" s="9"/>
      <c r="GQ536" s="9"/>
    </row>
    <row r="537" spans="2:199" ht="15">
      <c r="B537" s="9"/>
      <c r="C537" s="9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</row>
    <row r="538" spans="2:199" ht="15">
      <c r="B538" s="9"/>
      <c r="C538" s="9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</row>
    <row r="539" spans="2:199" ht="15">
      <c r="B539" s="9"/>
      <c r="C539" s="9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  <c r="GA539" s="9"/>
      <c r="GB539" s="9"/>
      <c r="GC539" s="9"/>
      <c r="GD539" s="9"/>
      <c r="GE539" s="9"/>
      <c r="GF539" s="9"/>
      <c r="GG539" s="9"/>
      <c r="GH539" s="9"/>
      <c r="GI539" s="9"/>
      <c r="GJ539" s="9"/>
      <c r="GK539" s="9"/>
      <c r="GL539" s="9"/>
      <c r="GM539" s="9"/>
      <c r="GN539" s="9"/>
      <c r="GO539" s="9"/>
      <c r="GP539" s="9"/>
      <c r="GQ539" s="9"/>
    </row>
    <row r="540" spans="2:199" ht="15">
      <c r="B540" s="9"/>
      <c r="C540" s="9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  <c r="GB540" s="9"/>
      <c r="GC540" s="9"/>
      <c r="GD540" s="9"/>
      <c r="GE540" s="9"/>
      <c r="GF540" s="9"/>
      <c r="GG540" s="9"/>
      <c r="GH540" s="9"/>
      <c r="GI540" s="9"/>
      <c r="GJ540" s="9"/>
      <c r="GK540" s="9"/>
      <c r="GL540" s="9"/>
      <c r="GM540" s="9"/>
      <c r="GN540" s="9"/>
      <c r="GO540" s="9"/>
      <c r="GP540" s="9"/>
      <c r="GQ540" s="9"/>
    </row>
    <row r="541" spans="2:199" ht="15">
      <c r="B541" s="9"/>
      <c r="C541" s="9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</row>
    <row r="542" spans="2:199" ht="15">
      <c r="B542" s="9"/>
      <c r="C542" s="9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</row>
    <row r="543" spans="2:199" ht="15">
      <c r="B543" s="9"/>
      <c r="C543" s="9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</row>
    <row r="544" spans="2:199" ht="15">
      <c r="B544" s="9"/>
      <c r="C544" s="9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</row>
    <row r="545" spans="2:199" ht="15">
      <c r="B545" s="9"/>
      <c r="C545" s="9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  <c r="GA545" s="9"/>
      <c r="GB545" s="9"/>
      <c r="GC545" s="9"/>
      <c r="GD545" s="9"/>
      <c r="GE545" s="9"/>
      <c r="GF545" s="9"/>
      <c r="GG545" s="9"/>
      <c r="GH545" s="9"/>
      <c r="GI545" s="9"/>
      <c r="GJ545" s="9"/>
      <c r="GK545" s="9"/>
      <c r="GL545" s="9"/>
      <c r="GM545" s="9"/>
      <c r="GN545" s="9"/>
      <c r="GO545" s="9"/>
      <c r="GP545" s="9"/>
      <c r="GQ545" s="9"/>
    </row>
    <row r="546" spans="2:199" ht="15">
      <c r="B546" s="9"/>
      <c r="C546" s="9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</row>
    <row r="547" spans="2:199" ht="15">
      <c r="B547" s="9"/>
      <c r="C547" s="9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</row>
    <row r="548" spans="2:199" ht="15">
      <c r="B548" s="9"/>
      <c r="C548" s="9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</row>
    <row r="549" spans="2:199" ht="15">
      <c r="B549" s="9"/>
      <c r="C549" s="9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</row>
    <row r="550" spans="2:199" ht="15">
      <c r="B550" s="9"/>
      <c r="C550" s="9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</row>
    <row r="551" spans="2:199" ht="15">
      <c r="B551" s="9"/>
      <c r="C551" s="9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  <c r="GA551" s="9"/>
      <c r="GB551" s="9"/>
      <c r="GC551" s="9"/>
      <c r="GD551" s="9"/>
      <c r="GE551" s="9"/>
      <c r="GF551" s="9"/>
      <c r="GG551" s="9"/>
      <c r="GH551" s="9"/>
      <c r="GI551" s="9"/>
      <c r="GJ551" s="9"/>
      <c r="GK551" s="9"/>
      <c r="GL551" s="9"/>
      <c r="GM551" s="9"/>
      <c r="GN551" s="9"/>
      <c r="GO551" s="9"/>
      <c r="GP551" s="9"/>
      <c r="GQ551" s="9"/>
    </row>
    <row r="552" spans="2:199" ht="15">
      <c r="B552" s="9"/>
      <c r="C552" s="9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</row>
    <row r="553" spans="2:199" ht="15">
      <c r="B553" s="9"/>
      <c r="C553" s="9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  <c r="GA553" s="9"/>
      <c r="GB553" s="9"/>
      <c r="GC553" s="9"/>
      <c r="GD553" s="9"/>
      <c r="GE553" s="9"/>
      <c r="GF553" s="9"/>
      <c r="GG553" s="9"/>
      <c r="GH553" s="9"/>
      <c r="GI553" s="9"/>
      <c r="GJ553" s="9"/>
      <c r="GK553" s="9"/>
      <c r="GL553" s="9"/>
      <c r="GM553" s="9"/>
      <c r="GN553" s="9"/>
      <c r="GO553" s="9"/>
      <c r="GP553" s="9"/>
      <c r="GQ553" s="9"/>
    </row>
    <row r="554" spans="2:199" ht="15">
      <c r="B554" s="9"/>
      <c r="C554" s="9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</row>
    <row r="555" spans="2:199" ht="15">
      <c r="B555" s="9"/>
      <c r="C555" s="9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</row>
    <row r="556" spans="2:199" ht="15">
      <c r="B556" s="9"/>
      <c r="C556" s="9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  <c r="GA556" s="9"/>
      <c r="GB556" s="9"/>
      <c r="GC556" s="9"/>
      <c r="GD556" s="9"/>
      <c r="GE556" s="9"/>
      <c r="GF556" s="9"/>
      <c r="GG556" s="9"/>
      <c r="GH556" s="9"/>
      <c r="GI556" s="9"/>
      <c r="GJ556" s="9"/>
      <c r="GK556" s="9"/>
      <c r="GL556" s="9"/>
      <c r="GM556" s="9"/>
      <c r="GN556" s="9"/>
      <c r="GO556" s="9"/>
      <c r="GP556" s="9"/>
      <c r="GQ556" s="9"/>
    </row>
    <row r="557" spans="2:199" ht="15">
      <c r="B557" s="9"/>
      <c r="C557" s="9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</row>
    <row r="558" spans="2:199" ht="15">
      <c r="B558" s="9"/>
      <c r="C558" s="9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</row>
    <row r="559" spans="2:199" ht="15">
      <c r="B559" s="9"/>
      <c r="C559" s="9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</row>
    <row r="560" spans="2:199" ht="15">
      <c r="B560" s="9"/>
      <c r="C560" s="9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</row>
    <row r="561" spans="2:199" ht="15">
      <c r="B561" s="9"/>
      <c r="C561" s="9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</row>
    <row r="562" spans="2:199" ht="15">
      <c r="B562" s="9"/>
      <c r="C562" s="9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</row>
    <row r="563" spans="2:199" ht="15">
      <c r="B563" s="9"/>
      <c r="C563" s="9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</row>
    <row r="564" spans="2:199" ht="15">
      <c r="B564" s="9"/>
      <c r="C564" s="9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  <c r="GA564" s="9"/>
      <c r="GB564" s="9"/>
      <c r="GC564" s="9"/>
      <c r="GD564" s="9"/>
      <c r="GE564" s="9"/>
      <c r="GF564" s="9"/>
      <c r="GG564" s="9"/>
      <c r="GH564" s="9"/>
      <c r="GI564" s="9"/>
      <c r="GJ564" s="9"/>
      <c r="GK564" s="9"/>
      <c r="GL564" s="9"/>
      <c r="GM564" s="9"/>
      <c r="GN564" s="9"/>
      <c r="GO564" s="9"/>
      <c r="GP564" s="9"/>
      <c r="GQ564" s="9"/>
    </row>
    <row r="565" spans="2:199" ht="15">
      <c r="B565" s="9"/>
      <c r="C565" s="9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</row>
    <row r="566" spans="2:199" ht="15">
      <c r="B566" s="9"/>
      <c r="C566" s="9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  <c r="GA566" s="9"/>
      <c r="GB566" s="9"/>
      <c r="GC566" s="9"/>
      <c r="GD566" s="9"/>
      <c r="GE566" s="9"/>
      <c r="GF566" s="9"/>
      <c r="GG566" s="9"/>
      <c r="GH566" s="9"/>
      <c r="GI566" s="9"/>
      <c r="GJ566" s="9"/>
      <c r="GK566" s="9"/>
      <c r="GL566" s="9"/>
      <c r="GM566" s="9"/>
      <c r="GN566" s="9"/>
      <c r="GO566" s="9"/>
      <c r="GP566" s="9"/>
      <c r="GQ566" s="9"/>
    </row>
    <row r="567" spans="2:199" ht="15">
      <c r="B567" s="9"/>
      <c r="C567" s="9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</row>
    <row r="568" spans="2:199" ht="15">
      <c r="B568" s="9"/>
      <c r="C568" s="9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</row>
    <row r="569" spans="2:199" ht="15">
      <c r="B569" s="9"/>
      <c r="C569" s="9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</row>
    <row r="570" spans="2:199" ht="15">
      <c r="B570" s="9"/>
      <c r="C570" s="9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</row>
    <row r="571" spans="2:199" ht="15">
      <c r="B571" s="9"/>
      <c r="C571" s="9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</row>
    <row r="572" spans="2:199" ht="15">
      <c r="B572" s="9"/>
      <c r="C572" s="9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  <c r="GA572" s="9"/>
      <c r="GB572" s="9"/>
      <c r="GC572" s="9"/>
      <c r="GD572" s="9"/>
      <c r="GE572" s="9"/>
      <c r="GF572" s="9"/>
      <c r="GG572" s="9"/>
      <c r="GH572" s="9"/>
      <c r="GI572" s="9"/>
      <c r="GJ572" s="9"/>
      <c r="GK572" s="9"/>
      <c r="GL572" s="9"/>
      <c r="GM572" s="9"/>
      <c r="GN572" s="9"/>
      <c r="GO572" s="9"/>
      <c r="GP572" s="9"/>
      <c r="GQ572" s="9"/>
    </row>
    <row r="573" spans="2:199" ht="15">
      <c r="B573" s="9"/>
      <c r="C573" s="9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  <c r="GA573" s="9"/>
      <c r="GB573" s="9"/>
      <c r="GC573" s="9"/>
      <c r="GD573" s="9"/>
      <c r="GE573" s="9"/>
      <c r="GF573" s="9"/>
      <c r="GG573" s="9"/>
      <c r="GH573" s="9"/>
      <c r="GI573" s="9"/>
      <c r="GJ573" s="9"/>
      <c r="GK573" s="9"/>
      <c r="GL573" s="9"/>
      <c r="GM573" s="9"/>
      <c r="GN573" s="9"/>
      <c r="GO573" s="9"/>
      <c r="GP573" s="9"/>
      <c r="GQ573" s="9"/>
    </row>
    <row r="574" spans="2:199" ht="15">
      <c r="B574" s="9"/>
      <c r="C574" s="9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  <c r="GA574" s="9"/>
      <c r="GB574" s="9"/>
      <c r="GC574" s="9"/>
      <c r="GD574" s="9"/>
      <c r="GE574" s="9"/>
      <c r="GF574" s="9"/>
      <c r="GG574" s="9"/>
      <c r="GH574" s="9"/>
      <c r="GI574" s="9"/>
      <c r="GJ574" s="9"/>
      <c r="GK574" s="9"/>
      <c r="GL574" s="9"/>
      <c r="GM574" s="9"/>
      <c r="GN574" s="9"/>
      <c r="GO574" s="9"/>
      <c r="GP574" s="9"/>
      <c r="GQ574" s="9"/>
    </row>
    <row r="575" spans="2:199" ht="15">
      <c r="B575" s="9"/>
      <c r="C575" s="9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  <c r="FS575" s="9"/>
      <c r="FT575" s="9"/>
      <c r="FU575" s="9"/>
      <c r="FV575" s="9"/>
      <c r="FW575" s="9"/>
      <c r="FX575" s="9"/>
      <c r="FY575" s="9"/>
      <c r="FZ575" s="9"/>
      <c r="GA575" s="9"/>
      <c r="GB575" s="9"/>
      <c r="GC575" s="9"/>
      <c r="GD575" s="9"/>
      <c r="GE575" s="9"/>
      <c r="GF575" s="9"/>
      <c r="GG575" s="9"/>
      <c r="GH575" s="9"/>
      <c r="GI575" s="9"/>
      <c r="GJ575" s="9"/>
      <c r="GK575" s="9"/>
      <c r="GL575" s="9"/>
      <c r="GM575" s="9"/>
      <c r="GN575" s="9"/>
      <c r="GO575" s="9"/>
      <c r="GP575" s="9"/>
      <c r="GQ575" s="9"/>
    </row>
    <row r="576" spans="2:199" ht="15">
      <c r="B576" s="9"/>
      <c r="C576" s="9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  <c r="FS576" s="9"/>
      <c r="FT576" s="9"/>
      <c r="FU576" s="9"/>
      <c r="FV576" s="9"/>
      <c r="FW576" s="9"/>
      <c r="FX576" s="9"/>
      <c r="FY576" s="9"/>
      <c r="FZ576" s="9"/>
      <c r="GA576" s="9"/>
      <c r="GB576" s="9"/>
      <c r="GC576" s="9"/>
      <c r="GD576" s="9"/>
      <c r="GE576" s="9"/>
      <c r="GF576" s="9"/>
      <c r="GG576" s="9"/>
      <c r="GH576" s="9"/>
      <c r="GI576" s="9"/>
      <c r="GJ576" s="9"/>
      <c r="GK576" s="9"/>
      <c r="GL576" s="9"/>
      <c r="GM576" s="9"/>
      <c r="GN576" s="9"/>
      <c r="GO576" s="9"/>
      <c r="GP576" s="9"/>
      <c r="GQ576" s="9"/>
    </row>
    <row r="577" spans="2:199" ht="15">
      <c r="B577" s="9"/>
      <c r="C577" s="9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  <c r="GA577" s="9"/>
      <c r="GB577" s="9"/>
      <c r="GC577" s="9"/>
      <c r="GD577" s="9"/>
      <c r="GE577" s="9"/>
      <c r="GF577" s="9"/>
      <c r="GG577" s="9"/>
      <c r="GH577" s="9"/>
      <c r="GI577" s="9"/>
      <c r="GJ577" s="9"/>
      <c r="GK577" s="9"/>
      <c r="GL577" s="9"/>
      <c r="GM577" s="9"/>
      <c r="GN577" s="9"/>
      <c r="GO577" s="9"/>
      <c r="GP577" s="9"/>
      <c r="GQ577" s="9"/>
    </row>
    <row r="578" spans="2:199" ht="15">
      <c r="B578" s="9"/>
      <c r="C578" s="9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  <c r="GA578" s="9"/>
      <c r="GB578" s="9"/>
      <c r="GC578" s="9"/>
      <c r="GD578" s="9"/>
      <c r="GE578" s="9"/>
      <c r="GF578" s="9"/>
      <c r="GG578" s="9"/>
      <c r="GH578" s="9"/>
      <c r="GI578" s="9"/>
      <c r="GJ578" s="9"/>
      <c r="GK578" s="9"/>
      <c r="GL578" s="9"/>
      <c r="GM578" s="9"/>
      <c r="GN578" s="9"/>
      <c r="GO578" s="9"/>
      <c r="GP578" s="9"/>
      <c r="GQ578" s="9"/>
    </row>
    <row r="579" spans="2:199" ht="15">
      <c r="B579" s="9"/>
      <c r="C579" s="9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  <c r="FS579" s="9"/>
      <c r="FT579" s="9"/>
      <c r="FU579" s="9"/>
      <c r="FV579" s="9"/>
      <c r="FW579" s="9"/>
      <c r="FX579" s="9"/>
      <c r="FY579" s="9"/>
      <c r="FZ579" s="9"/>
      <c r="GA579" s="9"/>
      <c r="GB579" s="9"/>
      <c r="GC579" s="9"/>
      <c r="GD579" s="9"/>
      <c r="GE579" s="9"/>
      <c r="GF579" s="9"/>
      <c r="GG579" s="9"/>
      <c r="GH579" s="9"/>
      <c r="GI579" s="9"/>
      <c r="GJ579" s="9"/>
      <c r="GK579" s="9"/>
      <c r="GL579" s="9"/>
      <c r="GM579" s="9"/>
      <c r="GN579" s="9"/>
      <c r="GO579" s="9"/>
      <c r="GP579" s="9"/>
      <c r="GQ579" s="9"/>
    </row>
    <row r="580" spans="2:199" ht="15">
      <c r="B580" s="9"/>
      <c r="C580" s="9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  <c r="FS580" s="9"/>
      <c r="FT580" s="9"/>
      <c r="FU580" s="9"/>
      <c r="FV580" s="9"/>
      <c r="FW580" s="9"/>
      <c r="FX580" s="9"/>
      <c r="FY580" s="9"/>
      <c r="FZ580" s="9"/>
      <c r="GA580" s="9"/>
      <c r="GB580" s="9"/>
      <c r="GC580" s="9"/>
      <c r="GD580" s="9"/>
      <c r="GE580" s="9"/>
      <c r="GF580" s="9"/>
      <c r="GG580" s="9"/>
      <c r="GH580" s="9"/>
      <c r="GI580" s="9"/>
      <c r="GJ580" s="9"/>
      <c r="GK580" s="9"/>
      <c r="GL580" s="9"/>
      <c r="GM580" s="9"/>
      <c r="GN580" s="9"/>
      <c r="GO580" s="9"/>
      <c r="GP580" s="9"/>
      <c r="GQ580" s="9"/>
    </row>
    <row r="581" spans="2:199" ht="15">
      <c r="B581" s="9"/>
      <c r="C581" s="9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  <c r="FS581" s="9"/>
      <c r="FT581" s="9"/>
      <c r="FU581" s="9"/>
      <c r="FV581" s="9"/>
      <c r="FW581" s="9"/>
      <c r="FX581" s="9"/>
      <c r="FY581" s="9"/>
      <c r="FZ581" s="9"/>
      <c r="GA581" s="9"/>
      <c r="GB581" s="9"/>
      <c r="GC581" s="9"/>
      <c r="GD581" s="9"/>
      <c r="GE581" s="9"/>
      <c r="GF581" s="9"/>
      <c r="GG581" s="9"/>
      <c r="GH581" s="9"/>
      <c r="GI581" s="9"/>
      <c r="GJ581" s="9"/>
      <c r="GK581" s="9"/>
      <c r="GL581" s="9"/>
      <c r="GM581" s="9"/>
      <c r="GN581" s="9"/>
      <c r="GO581" s="9"/>
      <c r="GP581" s="9"/>
      <c r="GQ581" s="9"/>
    </row>
    <row r="582" spans="2:199" ht="15">
      <c r="B582" s="9"/>
      <c r="C582" s="9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  <c r="FS582" s="9"/>
      <c r="FT582" s="9"/>
      <c r="FU582" s="9"/>
      <c r="FV582" s="9"/>
      <c r="FW582" s="9"/>
      <c r="FX582" s="9"/>
      <c r="FY582" s="9"/>
      <c r="FZ582" s="9"/>
      <c r="GA582" s="9"/>
      <c r="GB582" s="9"/>
      <c r="GC582" s="9"/>
      <c r="GD582" s="9"/>
      <c r="GE582" s="9"/>
      <c r="GF582" s="9"/>
      <c r="GG582" s="9"/>
      <c r="GH582" s="9"/>
      <c r="GI582" s="9"/>
      <c r="GJ582" s="9"/>
      <c r="GK582" s="9"/>
      <c r="GL582" s="9"/>
      <c r="GM582" s="9"/>
      <c r="GN582" s="9"/>
      <c r="GO582" s="9"/>
      <c r="GP582" s="9"/>
      <c r="GQ582" s="9"/>
    </row>
    <row r="583" spans="2:199" ht="15">
      <c r="B583" s="9"/>
      <c r="C583" s="9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  <c r="GA583" s="9"/>
      <c r="GB583" s="9"/>
      <c r="GC583" s="9"/>
      <c r="GD583" s="9"/>
      <c r="GE583" s="9"/>
      <c r="GF583" s="9"/>
      <c r="GG583" s="9"/>
      <c r="GH583" s="9"/>
      <c r="GI583" s="9"/>
      <c r="GJ583" s="9"/>
      <c r="GK583" s="9"/>
      <c r="GL583" s="9"/>
      <c r="GM583" s="9"/>
      <c r="GN583" s="9"/>
      <c r="GO583" s="9"/>
      <c r="GP583" s="9"/>
      <c r="GQ583" s="9"/>
    </row>
    <row r="584" spans="2:199" ht="15">
      <c r="B584" s="9"/>
      <c r="C584" s="9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  <c r="FS584" s="9"/>
      <c r="FT584" s="9"/>
      <c r="FU584" s="9"/>
      <c r="FV584" s="9"/>
      <c r="FW584" s="9"/>
      <c r="FX584" s="9"/>
      <c r="FY584" s="9"/>
      <c r="FZ584" s="9"/>
      <c r="GA584" s="9"/>
      <c r="GB584" s="9"/>
      <c r="GC584" s="9"/>
      <c r="GD584" s="9"/>
      <c r="GE584" s="9"/>
      <c r="GF584" s="9"/>
      <c r="GG584" s="9"/>
      <c r="GH584" s="9"/>
      <c r="GI584" s="9"/>
      <c r="GJ584" s="9"/>
      <c r="GK584" s="9"/>
      <c r="GL584" s="9"/>
      <c r="GM584" s="9"/>
      <c r="GN584" s="9"/>
      <c r="GO584" s="9"/>
      <c r="GP584" s="9"/>
      <c r="GQ584" s="9"/>
    </row>
    <row r="585" spans="2:199" ht="15">
      <c r="B585" s="9"/>
      <c r="C585" s="9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  <c r="GA585" s="9"/>
      <c r="GB585" s="9"/>
      <c r="GC585" s="9"/>
      <c r="GD585" s="9"/>
      <c r="GE585" s="9"/>
      <c r="GF585" s="9"/>
      <c r="GG585" s="9"/>
      <c r="GH585" s="9"/>
      <c r="GI585" s="9"/>
      <c r="GJ585" s="9"/>
      <c r="GK585" s="9"/>
      <c r="GL585" s="9"/>
      <c r="GM585" s="9"/>
      <c r="GN585" s="9"/>
      <c r="GO585" s="9"/>
      <c r="GP585" s="9"/>
      <c r="GQ585" s="9"/>
    </row>
    <row r="586" spans="2:199" ht="15">
      <c r="B586" s="9"/>
      <c r="C586" s="9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  <c r="GA586" s="9"/>
      <c r="GB586" s="9"/>
      <c r="GC586" s="9"/>
      <c r="GD586" s="9"/>
      <c r="GE586" s="9"/>
      <c r="GF586" s="9"/>
      <c r="GG586" s="9"/>
      <c r="GH586" s="9"/>
      <c r="GI586" s="9"/>
      <c r="GJ586" s="9"/>
      <c r="GK586" s="9"/>
      <c r="GL586" s="9"/>
      <c r="GM586" s="9"/>
      <c r="GN586" s="9"/>
      <c r="GO586" s="9"/>
      <c r="GP586" s="9"/>
      <c r="GQ586" s="9"/>
    </row>
    <row r="587" spans="2:199" ht="15">
      <c r="B587" s="9"/>
      <c r="C587" s="9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</row>
    <row r="588" spans="2:199" ht="15">
      <c r="B588" s="9"/>
      <c r="C588" s="9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  <c r="FS588" s="9"/>
      <c r="FT588" s="9"/>
      <c r="FU588" s="9"/>
      <c r="FV588" s="9"/>
      <c r="FW588" s="9"/>
      <c r="FX588" s="9"/>
      <c r="FY588" s="9"/>
      <c r="FZ588" s="9"/>
      <c r="GA588" s="9"/>
      <c r="GB588" s="9"/>
      <c r="GC588" s="9"/>
      <c r="GD588" s="9"/>
      <c r="GE588" s="9"/>
      <c r="GF588" s="9"/>
      <c r="GG588" s="9"/>
      <c r="GH588" s="9"/>
      <c r="GI588" s="9"/>
      <c r="GJ588" s="9"/>
      <c r="GK588" s="9"/>
      <c r="GL588" s="9"/>
      <c r="GM588" s="9"/>
      <c r="GN588" s="9"/>
      <c r="GO588" s="9"/>
      <c r="GP588" s="9"/>
      <c r="GQ588" s="9"/>
    </row>
    <row r="589" spans="2:199" ht="15">
      <c r="B589" s="9"/>
      <c r="C589" s="9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</row>
    <row r="590" spans="2:199" ht="1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  <c r="GA590" s="9"/>
      <c r="GB590" s="9"/>
      <c r="GC590" s="9"/>
      <c r="GD590" s="9"/>
      <c r="GE590" s="9"/>
      <c r="GF590" s="9"/>
      <c r="GG590" s="9"/>
      <c r="GH590" s="9"/>
      <c r="GI590" s="9"/>
      <c r="GJ590" s="9"/>
      <c r="GK590" s="9"/>
      <c r="GL590" s="9"/>
      <c r="GM590" s="9"/>
      <c r="GN590" s="9"/>
      <c r="GO590" s="9"/>
      <c r="GP590" s="9"/>
      <c r="GQ590" s="9"/>
    </row>
    <row r="591" spans="2:199" ht="1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  <c r="GA591" s="9"/>
      <c r="GB591" s="9"/>
      <c r="GC591" s="9"/>
      <c r="GD591" s="9"/>
      <c r="GE591" s="9"/>
      <c r="GF591" s="9"/>
      <c r="GG591" s="9"/>
      <c r="GH591" s="9"/>
      <c r="GI591" s="9"/>
      <c r="GJ591" s="9"/>
      <c r="GK591" s="9"/>
      <c r="GL591" s="9"/>
      <c r="GM591" s="9"/>
      <c r="GN591" s="9"/>
      <c r="GO591" s="9"/>
      <c r="GP591" s="9"/>
      <c r="GQ591" s="9"/>
    </row>
    <row r="592" spans="2:199" ht="1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</row>
    <row r="593" spans="2:199" ht="1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</row>
    <row r="594" spans="2:199" ht="1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  <c r="GA594" s="9"/>
      <c r="GB594" s="9"/>
      <c r="GC594" s="9"/>
      <c r="GD594" s="9"/>
      <c r="GE594" s="9"/>
      <c r="GF594" s="9"/>
      <c r="GG594" s="9"/>
      <c r="GH594" s="9"/>
      <c r="GI594" s="9"/>
      <c r="GJ594" s="9"/>
      <c r="GK594" s="9"/>
      <c r="GL594" s="9"/>
      <c r="GM594" s="9"/>
      <c r="GN594" s="9"/>
      <c r="GO594" s="9"/>
      <c r="GP594" s="9"/>
      <c r="GQ594" s="9"/>
    </row>
    <row r="595" spans="2:199" ht="1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  <c r="GA595" s="9"/>
      <c r="GB595" s="9"/>
      <c r="GC595" s="9"/>
      <c r="GD595" s="9"/>
      <c r="GE595" s="9"/>
      <c r="GF595" s="9"/>
      <c r="GG595" s="9"/>
      <c r="GH595" s="9"/>
      <c r="GI595" s="9"/>
      <c r="GJ595" s="9"/>
      <c r="GK595" s="9"/>
      <c r="GL595" s="9"/>
      <c r="GM595" s="9"/>
      <c r="GN595" s="9"/>
      <c r="GO595" s="9"/>
      <c r="GP595" s="9"/>
      <c r="GQ595" s="9"/>
    </row>
    <row r="596" spans="2:199" ht="1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  <c r="FS596" s="9"/>
      <c r="FT596" s="9"/>
      <c r="FU596" s="9"/>
      <c r="FV596" s="9"/>
      <c r="FW596" s="9"/>
      <c r="FX596" s="9"/>
      <c r="FY596" s="9"/>
      <c r="FZ596" s="9"/>
      <c r="GA596" s="9"/>
      <c r="GB596" s="9"/>
      <c r="GC596" s="9"/>
      <c r="GD596" s="9"/>
      <c r="GE596" s="9"/>
      <c r="GF596" s="9"/>
      <c r="GG596" s="9"/>
      <c r="GH596" s="9"/>
      <c r="GI596" s="9"/>
      <c r="GJ596" s="9"/>
      <c r="GK596" s="9"/>
      <c r="GL596" s="9"/>
      <c r="GM596" s="9"/>
      <c r="GN596" s="9"/>
      <c r="GO596" s="9"/>
      <c r="GP596" s="9"/>
      <c r="GQ596" s="9"/>
    </row>
    <row r="597" spans="2:199" ht="1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  <c r="FJ597" s="9"/>
      <c r="FK597" s="9"/>
      <c r="FL597" s="9"/>
      <c r="FM597" s="9"/>
      <c r="FN597" s="9"/>
      <c r="FO597" s="9"/>
      <c r="FP597" s="9"/>
      <c r="FQ597" s="9"/>
      <c r="FR597" s="9"/>
      <c r="FS597" s="9"/>
      <c r="FT597" s="9"/>
      <c r="FU597" s="9"/>
      <c r="FV597" s="9"/>
      <c r="FW597" s="9"/>
      <c r="FX597" s="9"/>
      <c r="FY597" s="9"/>
      <c r="FZ597" s="9"/>
      <c r="GA597" s="9"/>
      <c r="GB597" s="9"/>
      <c r="GC597" s="9"/>
      <c r="GD597" s="9"/>
      <c r="GE597" s="9"/>
      <c r="GF597" s="9"/>
      <c r="GG597" s="9"/>
      <c r="GH597" s="9"/>
      <c r="GI597" s="9"/>
      <c r="GJ597" s="9"/>
      <c r="GK597" s="9"/>
      <c r="GL597" s="9"/>
      <c r="GM597" s="9"/>
      <c r="GN597" s="9"/>
      <c r="GO597" s="9"/>
      <c r="GP597" s="9"/>
      <c r="GQ597" s="9"/>
    </row>
    <row r="598" spans="2:199" ht="1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  <c r="GA598" s="9"/>
      <c r="GB598" s="9"/>
      <c r="GC598" s="9"/>
      <c r="GD598" s="9"/>
      <c r="GE598" s="9"/>
      <c r="GF598" s="9"/>
      <c r="GG598" s="9"/>
      <c r="GH598" s="9"/>
      <c r="GI598" s="9"/>
      <c r="GJ598" s="9"/>
      <c r="GK598" s="9"/>
      <c r="GL598" s="9"/>
      <c r="GM598" s="9"/>
      <c r="GN598" s="9"/>
      <c r="GO598" s="9"/>
      <c r="GP598" s="9"/>
      <c r="GQ598" s="9"/>
    </row>
    <row r="599" spans="2:199" ht="1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  <c r="GA599" s="9"/>
      <c r="GB599" s="9"/>
      <c r="GC599" s="9"/>
      <c r="GD599" s="9"/>
      <c r="GE599" s="9"/>
      <c r="GF599" s="9"/>
      <c r="GG599" s="9"/>
      <c r="GH599" s="9"/>
      <c r="GI599" s="9"/>
      <c r="GJ599" s="9"/>
      <c r="GK599" s="9"/>
      <c r="GL599" s="9"/>
      <c r="GM599" s="9"/>
      <c r="GN599" s="9"/>
      <c r="GO599" s="9"/>
      <c r="GP599" s="9"/>
      <c r="GQ599" s="9"/>
    </row>
    <row r="600" spans="2:199" ht="1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  <c r="GA600" s="9"/>
      <c r="GB600" s="9"/>
      <c r="GC600" s="9"/>
      <c r="GD600" s="9"/>
      <c r="GE600" s="9"/>
      <c r="GF600" s="9"/>
      <c r="GG600" s="9"/>
      <c r="GH600" s="9"/>
      <c r="GI600" s="9"/>
      <c r="GJ600" s="9"/>
      <c r="GK600" s="9"/>
      <c r="GL600" s="9"/>
      <c r="GM600" s="9"/>
      <c r="GN600" s="9"/>
      <c r="GO600" s="9"/>
      <c r="GP600" s="9"/>
      <c r="GQ600" s="9"/>
    </row>
    <row r="601" spans="2:199" ht="15"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  <c r="FS601" s="9"/>
      <c r="FT601" s="9"/>
      <c r="FU601" s="9"/>
      <c r="FV601" s="9"/>
      <c r="FW601" s="9"/>
      <c r="FX601" s="9"/>
      <c r="FY601" s="9"/>
      <c r="FZ601" s="9"/>
      <c r="GA601" s="9"/>
      <c r="GB601" s="9"/>
      <c r="GC601" s="9"/>
      <c r="GD601" s="9"/>
      <c r="GE601" s="9"/>
      <c r="GF601" s="9"/>
      <c r="GG601" s="9"/>
      <c r="GH601" s="9"/>
      <c r="GI601" s="9"/>
      <c r="GJ601" s="9"/>
      <c r="GK601" s="9"/>
      <c r="GL601" s="9"/>
      <c r="GM601" s="9"/>
      <c r="GN601" s="9"/>
      <c r="GO601" s="9"/>
      <c r="GP601" s="9"/>
      <c r="GQ601" s="9"/>
    </row>
    <row r="602" spans="2:199" ht="15"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  <c r="FS602" s="9"/>
      <c r="FT602" s="9"/>
      <c r="FU602" s="9"/>
      <c r="FV602" s="9"/>
      <c r="FW602" s="9"/>
      <c r="FX602" s="9"/>
      <c r="FY602" s="9"/>
      <c r="FZ602" s="9"/>
      <c r="GA602" s="9"/>
      <c r="GB602" s="9"/>
      <c r="GC602" s="9"/>
      <c r="GD602" s="9"/>
      <c r="GE602" s="9"/>
      <c r="GF602" s="9"/>
      <c r="GG602" s="9"/>
      <c r="GH602" s="9"/>
      <c r="GI602" s="9"/>
      <c r="GJ602" s="9"/>
      <c r="GK602" s="9"/>
      <c r="GL602" s="9"/>
      <c r="GM602" s="9"/>
      <c r="GN602" s="9"/>
      <c r="GO602" s="9"/>
      <c r="GP602" s="9"/>
      <c r="GQ602" s="9"/>
    </row>
    <row r="603" spans="2:199" ht="15"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</row>
    <row r="604" spans="2:199" ht="15"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</row>
    <row r="605" spans="2:199" ht="15"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  <c r="GA605" s="9"/>
      <c r="GB605" s="9"/>
      <c r="GC605" s="9"/>
      <c r="GD605" s="9"/>
      <c r="GE605" s="9"/>
      <c r="GF605" s="9"/>
      <c r="GG605" s="9"/>
      <c r="GH605" s="9"/>
      <c r="GI605" s="9"/>
      <c r="GJ605" s="9"/>
      <c r="GK605" s="9"/>
      <c r="GL605" s="9"/>
      <c r="GM605" s="9"/>
      <c r="GN605" s="9"/>
      <c r="GO605" s="9"/>
      <c r="GP605" s="9"/>
      <c r="GQ605" s="9"/>
    </row>
    <row r="606" spans="2:199" ht="15"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  <c r="FJ606" s="9"/>
      <c r="FK606" s="9"/>
      <c r="FL606" s="9"/>
      <c r="FM606" s="9"/>
      <c r="FN606" s="9"/>
      <c r="FO606" s="9"/>
      <c r="FP606" s="9"/>
      <c r="FQ606" s="9"/>
      <c r="FR606" s="9"/>
      <c r="FS606" s="9"/>
      <c r="FT606" s="9"/>
      <c r="FU606" s="9"/>
      <c r="FV606" s="9"/>
      <c r="FW606" s="9"/>
      <c r="FX606" s="9"/>
      <c r="FY606" s="9"/>
      <c r="FZ606" s="9"/>
      <c r="GA606" s="9"/>
      <c r="GB606" s="9"/>
      <c r="GC606" s="9"/>
      <c r="GD606" s="9"/>
      <c r="GE606" s="9"/>
      <c r="GF606" s="9"/>
      <c r="GG606" s="9"/>
      <c r="GH606" s="9"/>
      <c r="GI606" s="9"/>
      <c r="GJ606" s="9"/>
      <c r="GK606" s="9"/>
      <c r="GL606" s="9"/>
      <c r="GM606" s="9"/>
      <c r="GN606" s="9"/>
      <c r="GO606" s="9"/>
      <c r="GP606" s="9"/>
      <c r="GQ606" s="9"/>
    </row>
    <row r="607" spans="2:199" ht="15"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  <c r="FS607" s="9"/>
      <c r="FT607" s="9"/>
      <c r="FU607" s="9"/>
      <c r="FV607" s="9"/>
      <c r="FW607" s="9"/>
      <c r="FX607" s="9"/>
      <c r="FY607" s="9"/>
      <c r="FZ607" s="9"/>
      <c r="GA607" s="9"/>
      <c r="GB607" s="9"/>
      <c r="GC607" s="9"/>
      <c r="GD607" s="9"/>
      <c r="GE607" s="9"/>
      <c r="GF607" s="9"/>
      <c r="GG607" s="9"/>
      <c r="GH607" s="9"/>
      <c r="GI607" s="9"/>
      <c r="GJ607" s="9"/>
      <c r="GK607" s="9"/>
      <c r="GL607" s="9"/>
      <c r="GM607" s="9"/>
      <c r="GN607" s="9"/>
      <c r="GO607" s="9"/>
      <c r="GP607" s="9"/>
      <c r="GQ607" s="9"/>
    </row>
    <row r="608" spans="2:199" ht="15"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  <c r="FS608" s="9"/>
      <c r="FT608" s="9"/>
      <c r="FU608" s="9"/>
      <c r="FV608" s="9"/>
      <c r="FW608" s="9"/>
      <c r="FX608" s="9"/>
      <c r="FY608" s="9"/>
      <c r="FZ608" s="9"/>
      <c r="GA608" s="9"/>
      <c r="GB608" s="9"/>
      <c r="GC608" s="9"/>
      <c r="GD608" s="9"/>
      <c r="GE608" s="9"/>
      <c r="GF608" s="9"/>
      <c r="GG608" s="9"/>
      <c r="GH608" s="9"/>
      <c r="GI608" s="9"/>
      <c r="GJ608" s="9"/>
      <c r="GK608" s="9"/>
      <c r="GL608" s="9"/>
      <c r="GM608" s="9"/>
      <c r="GN608" s="9"/>
      <c r="GO608" s="9"/>
      <c r="GP608" s="9"/>
      <c r="GQ608" s="9"/>
    </row>
    <row r="609" spans="2:199" ht="15"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  <c r="FJ609" s="9"/>
      <c r="FK609" s="9"/>
      <c r="FL609" s="9"/>
      <c r="FM609" s="9"/>
      <c r="FN609" s="9"/>
      <c r="FO609" s="9"/>
      <c r="FP609" s="9"/>
      <c r="FQ609" s="9"/>
      <c r="FR609" s="9"/>
      <c r="FS609" s="9"/>
      <c r="FT609" s="9"/>
      <c r="FU609" s="9"/>
      <c r="FV609" s="9"/>
      <c r="FW609" s="9"/>
      <c r="FX609" s="9"/>
      <c r="FY609" s="9"/>
      <c r="FZ609" s="9"/>
      <c r="GA609" s="9"/>
      <c r="GB609" s="9"/>
      <c r="GC609" s="9"/>
      <c r="GD609" s="9"/>
      <c r="GE609" s="9"/>
      <c r="GF609" s="9"/>
      <c r="GG609" s="9"/>
      <c r="GH609" s="9"/>
      <c r="GI609" s="9"/>
      <c r="GJ609" s="9"/>
      <c r="GK609" s="9"/>
      <c r="GL609" s="9"/>
      <c r="GM609" s="9"/>
      <c r="GN609" s="9"/>
      <c r="GO609" s="9"/>
      <c r="GP609" s="9"/>
      <c r="GQ609" s="9"/>
    </row>
    <row r="610" spans="2:199" ht="15"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  <c r="GA610" s="9"/>
      <c r="GB610" s="9"/>
      <c r="GC610" s="9"/>
      <c r="GD610" s="9"/>
      <c r="GE610" s="9"/>
      <c r="GF610" s="9"/>
      <c r="GG610" s="9"/>
      <c r="GH610" s="9"/>
      <c r="GI610" s="9"/>
      <c r="GJ610" s="9"/>
      <c r="GK610" s="9"/>
      <c r="GL610" s="9"/>
      <c r="GM610" s="9"/>
      <c r="GN610" s="9"/>
      <c r="GO610" s="9"/>
      <c r="GP610" s="9"/>
      <c r="GQ610" s="9"/>
    </row>
    <row r="611" spans="2:199" ht="15"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  <c r="GA611" s="9"/>
      <c r="GB611" s="9"/>
      <c r="GC611" s="9"/>
      <c r="GD611" s="9"/>
      <c r="GE611" s="9"/>
      <c r="GF611" s="9"/>
      <c r="GG611" s="9"/>
      <c r="GH611" s="9"/>
      <c r="GI611" s="9"/>
      <c r="GJ611" s="9"/>
      <c r="GK611" s="9"/>
      <c r="GL611" s="9"/>
      <c r="GM611" s="9"/>
      <c r="GN611" s="9"/>
      <c r="GO611" s="9"/>
      <c r="GP611" s="9"/>
      <c r="GQ611" s="9"/>
    </row>
    <row r="612" spans="2:199" ht="15"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  <c r="FJ612" s="9"/>
      <c r="FK612" s="9"/>
      <c r="FL612" s="9"/>
      <c r="FM612" s="9"/>
      <c r="FN612" s="9"/>
      <c r="FO612" s="9"/>
      <c r="FP612" s="9"/>
      <c r="FQ612" s="9"/>
      <c r="FR612" s="9"/>
      <c r="FS612" s="9"/>
      <c r="FT612" s="9"/>
      <c r="FU612" s="9"/>
      <c r="FV612" s="9"/>
      <c r="FW612" s="9"/>
      <c r="FX612" s="9"/>
      <c r="FY612" s="9"/>
      <c r="FZ612" s="9"/>
      <c r="GA612" s="9"/>
      <c r="GB612" s="9"/>
      <c r="GC612" s="9"/>
      <c r="GD612" s="9"/>
      <c r="GE612" s="9"/>
      <c r="GF612" s="9"/>
      <c r="GG612" s="9"/>
      <c r="GH612" s="9"/>
      <c r="GI612" s="9"/>
      <c r="GJ612" s="9"/>
      <c r="GK612" s="9"/>
      <c r="GL612" s="9"/>
      <c r="GM612" s="9"/>
      <c r="GN612" s="9"/>
      <c r="GO612" s="9"/>
      <c r="GP612" s="9"/>
      <c r="GQ612" s="9"/>
    </row>
    <row r="613" spans="2:199" ht="15"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  <c r="FI613" s="9"/>
      <c r="FJ613" s="9"/>
      <c r="FK613" s="9"/>
      <c r="FL613" s="9"/>
      <c r="FM613" s="9"/>
      <c r="FN613" s="9"/>
      <c r="FO613" s="9"/>
      <c r="FP613" s="9"/>
      <c r="FQ613" s="9"/>
      <c r="FR613" s="9"/>
      <c r="FS613" s="9"/>
      <c r="FT613" s="9"/>
      <c r="FU613" s="9"/>
      <c r="FV613" s="9"/>
      <c r="FW613" s="9"/>
      <c r="FX613" s="9"/>
      <c r="FY613" s="9"/>
      <c r="FZ613" s="9"/>
      <c r="GA613" s="9"/>
      <c r="GB613" s="9"/>
      <c r="GC613" s="9"/>
      <c r="GD613" s="9"/>
      <c r="GE613" s="9"/>
      <c r="GF613" s="9"/>
      <c r="GG613" s="9"/>
      <c r="GH613" s="9"/>
      <c r="GI613" s="9"/>
      <c r="GJ613" s="9"/>
      <c r="GK613" s="9"/>
      <c r="GL613" s="9"/>
      <c r="GM613" s="9"/>
      <c r="GN613" s="9"/>
      <c r="GO613" s="9"/>
      <c r="GP613" s="9"/>
      <c r="GQ613" s="9"/>
    </row>
    <row r="614" spans="2:199" ht="15"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  <c r="FI614" s="9"/>
      <c r="FJ614" s="9"/>
      <c r="FK614" s="9"/>
      <c r="FL614" s="9"/>
      <c r="FM614" s="9"/>
      <c r="FN614" s="9"/>
      <c r="FO614" s="9"/>
      <c r="FP614" s="9"/>
      <c r="FQ614" s="9"/>
      <c r="FR614" s="9"/>
      <c r="FS614" s="9"/>
      <c r="FT614" s="9"/>
      <c r="FU614" s="9"/>
      <c r="FV614" s="9"/>
      <c r="FW614" s="9"/>
      <c r="FX614" s="9"/>
      <c r="FY614" s="9"/>
      <c r="FZ614" s="9"/>
      <c r="GA614" s="9"/>
      <c r="GB614" s="9"/>
      <c r="GC614" s="9"/>
      <c r="GD614" s="9"/>
      <c r="GE614" s="9"/>
      <c r="GF614" s="9"/>
      <c r="GG614" s="9"/>
      <c r="GH614" s="9"/>
      <c r="GI614" s="9"/>
      <c r="GJ614" s="9"/>
      <c r="GK614" s="9"/>
      <c r="GL614" s="9"/>
      <c r="GM614" s="9"/>
      <c r="GN614" s="9"/>
      <c r="GO614" s="9"/>
      <c r="GP614" s="9"/>
      <c r="GQ614" s="9"/>
    </row>
    <row r="615" spans="2:199" ht="15"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  <c r="FI615" s="9"/>
      <c r="FJ615" s="9"/>
      <c r="FK615" s="9"/>
      <c r="FL615" s="9"/>
      <c r="FM615" s="9"/>
      <c r="FN615" s="9"/>
      <c r="FO615" s="9"/>
      <c r="FP615" s="9"/>
      <c r="FQ615" s="9"/>
      <c r="FR615" s="9"/>
      <c r="FS615" s="9"/>
      <c r="FT615" s="9"/>
      <c r="FU615" s="9"/>
      <c r="FV615" s="9"/>
      <c r="FW615" s="9"/>
      <c r="FX615" s="9"/>
      <c r="FY615" s="9"/>
      <c r="FZ615" s="9"/>
      <c r="GA615" s="9"/>
      <c r="GB615" s="9"/>
      <c r="GC615" s="9"/>
      <c r="GD615" s="9"/>
      <c r="GE615" s="9"/>
      <c r="GF615" s="9"/>
      <c r="GG615" s="9"/>
      <c r="GH615" s="9"/>
      <c r="GI615" s="9"/>
      <c r="GJ615" s="9"/>
      <c r="GK615" s="9"/>
      <c r="GL615" s="9"/>
      <c r="GM615" s="9"/>
      <c r="GN615" s="9"/>
      <c r="GO615" s="9"/>
      <c r="GP615" s="9"/>
      <c r="GQ615" s="9"/>
    </row>
    <row r="616" spans="2:199" ht="15"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  <c r="FJ616" s="9"/>
      <c r="FK616" s="9"/>
      <c r="FL616" s="9"/>
      <c r="FM616" s="9"/>
      <c r="FN616" s="9"/>
      <c r="FO616" s="9"/>
      <c r="FP616" s="9"/>
      <c r="FQ616" s="9"/>
      <c r="FR616" s="9"/>
      <c r="FS616" s="9"/>
      <c r="FT616" s="9"/>
      <c r="FU616" s="9"/>
      <c r="FV616" s="9"/>
      <c r="FW616" s="9"/>
      <c r="FX616" s="9"/>
      <c r="FY616" s="9"/>
      <c r="FZ616" s="9"/>
      <c r="GA616" s="9"/>
      <c r="GB616" s="9"/>
      <c r="GC616" s="9"/>
      <c r="GD616" s="9"/>
      <c r="GE616" s="9"/>
      <c r="GF616" s="9"/>
      <c r="GG616" s="9"/>
      <c r="GH616" s="9"/>
      <c r="GI616" s="9"/>
      <c r="GJ616" s="9"/>
      <c r="GK616" s="9"/>
      <c r="GL616" s="9"/>
      <c r="GM616" s="9"/>
      <c r="GN616" s="9"/>
      <c r="GO616" s="9"/>
      <c r="GP616" s="9"/>
      <c r="GQ616" s="9"/>
    </row>
    <row r="617" spans="2:199" ht="15"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  <c r="FI617" s="9"/>
      <c r="FJ617" s="9"/>
      <c r="FK617" s="9"/>
      <c r="FL617" s="9"/>
      <c r="FM617" s="9"/>
      <c r="FN617" s="9"/>
      <c r="FO617" s="9"/>
      <c r="FP617" s="9"/>
      <c r="FQ617" s="9"/>
      <c r="FR617" s="9"/>
      <c r="FS617" s="9"/>
      <c r="FT617" s="9"/>
      <c r="FU617" s="9"/>
      <c r="FV617" s="9"/>
      <c r="FW617" s="9"/>
      <c r="FX617" s="9"/>
      <c r="FY617" s="9"/>
      <c r="FZ617" s="9"/>
      <c r="GA617" s="9"/>
      <c r="GB617" s="9"/>
      <c r="GC617" s="9"/>
      <c r="GD617" s="9"/>
      <c r="GE617" s="9"/>
      <c r="GF617" s="9"/>
      <c r="GG617" s="9"/>
      <c r="GH617" s="9"/>
      <c r="GI617" s="9"/>
      <c r="GJ617" s="9"/>
      <c r="GK617" s="9"/>
      <c r="GL617" s="9"/>
      <c r="GM617" s="9"/>
      <c r="GN617" s="9"/>
      <c r="GO617" s="9"/>
      <c r="GP617" s="9"/>
      <c r="GQ617" s="9"/>
    </row>
    <row r="618" spans="2:199" ht="15"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  <c r="FH618" s="9"/>
      <c r="FI618" s="9"/>
      <c r="FJ618" s="9"/>
      <c r="FK618" s="9"/>
      <c r="FL618" s="9"/>
      <c r="FM618" s="9"/>
      <c r="FN618" s="9"/>
      <c r="FO618" s="9"/>
      <c r="FP618" s="9"/>
      <c r="FQ618" s="9"/>
      <c r="FR618" s="9"/>
      <c r="FS618" s="9"/>
      <c r="FT618" s="9"/>
      <c r="FU618" s="9"/>
      <c r="FV618" s="9"/>
      <c r="FW618" s="9"/>
      <c r="FX618" s="9"/>
      <c r="FY618" s="9"/>
      <c r="FZ618" s="9"/>
      <c r="GA618" s="9"/>
      <c r="GB618" s="9"/>
      <c r="GC618" s="9"/>
      <c r="GD618" s="9"/>
      <c r="GE618" s="9"/>
      <c r="GF618" s="9"/>
      <c r="GG618" s="9"/>
      <c r="GH618" s="9"/>
      <c r="GI618" s="9"/>
      <c r="GJ618" s="9"/>
      <c r="GK618" s="9"/>
      <c r="GL618" s="9"/>
      <c r="GM618" s="9"/>
      <c r="GN618" s="9"/>
      <c r="GO618" s="9"/>
      <c r="GP618" s="9"/>
      <c r="GQ618" s="9"/>
    </row>
    <row r="619" spans="2:199" ht="15"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  <c r="FH619" s="9"/>
      <c r="FI619" s="9"/>
      <c r="FJ619" s="9"/>
      <c r="FK619" s="9"/>
      <c r="FL619" s="9"/>
      <c r="FM619" s="9"/>
      <c r="FN619" s="9"/>
      <c r="FO619" s="9"/>
      <c r="FP619" s="9"/>
      <c r="FQ619" s="9"/>
      <c r="FR619" s="9"/>
      <c r="FS619" s="9"/>
      <c r="FT619" s="9"/>
      <c r="FU619" s="9"/>
      <c r="FV619" s="9"/>
      <c r="FW619" s="9"/>
      <c r="FX619" s="9"/>
      <c r="FY619" s="9"/>
      <c r="FZ619" s="9"/>
      <c r="GA619" s="9"/>
      <c r="GB619" s="9"/>
      <c r="GC619" s="9"/>
      <c r="GD619" s="9"/>
      <c r="GE619" s="9"/>
      <c r="GF619" s="9"/>
      <c r="GG619" s="9"/>
      <c r="GH619" s="9"/>
      <c r="GI619" s="9"/>
      <c r="GJ619" s="9"/>
      <c r="GK619" s="9"/>
      <c r="GL619" s="9"/>
      <c r="GM619" s="9"/>
      <c r="GN619" s="9"/>
      <c r="GO619" s="9"/>
      <c r="GP619" s="9"/>
      <c r="GQ619" s="9"/>
    </row>
    <row r="620" spans="2:199" ht="15"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  <c r="FH620" s="9"/>
      <c r="FI620" s="9"/>
      <c r="FJ620" s="9"/>
      <c r="FK620" s="9"/>
      <c r="FL620" s="9"/>
      <c r="FM620" s="9"/>
      <c r="FN620" s="9"/>
      <c r="FO620" s="9"/>
      <c r="FP620" s="9"/>
      <c r="FQ620" s="9"/>
      <c r="FR620" s="9"/>
      <c r="FS620" s="9"/>
      <c r="FT620" s="9"/>
      <c r="FU620" s="9"/>
      <c r="FV620" s="9"/>
      <c r="FW620" s="9"/>
      <c r="FX620" s="9"/>
      <c r="FY620" s="9"/>
      <c r="FZ620" s="9"/>
      <c r="GA620" s="9"/>
      <c r="GB620" s="9"/>
      <c r="GC620" s="9"/>
      <c r="GD620" s="9"/>
      <c r="GE620" s="9"/>
      <c r="GF620" s="9"/>
      <c r="GG620" s="9"/>
      <c r="GH620" s="9"/>
      <c r="GI620" s="9"/>
      <c r="GJ620" s="9"/>
      <c r="GK620" s="9"/>
      <c r="GL620" s="9"/>
      <c r="GM620" s="9"/>
      <c r="GN620" s="9"/>
      <c r="GO620" s="9"/>
      <c r="GP620" s="9"/>
      <c r="GQ620" s="9"/>
    </row>
    <row r="621" spans="2:199" ht="15"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  <c r="ES621" s="9"/>
      <c r="ET621" s="9"/>
      <c r="EU621" s="9"/>
      <c r="EV621" s="9"/>
      <c r="EW621" s="9"/>
      <c r="EX621" s="9"/>
      <c r="EY621" s="9"/>
      <c r="EZ621" s="9"/>
      <c r="FA621" s="9"/>
      <c r="FB621" s="9"/>
      <c r="FC621" s="9"/>
      <c r="FD621" s="9"/>
      <c r="FE621" s="9"/>
      <c r="FF621" s="9"/>
      <c r="FG621" s="9"/>
      <c r="FH621" s="9"/>
      <c r="FI621" s="9"/>
      <c r="FJ621" s="9"/>
      <c r="FK621" s="9"/>
      <c r="FL621" s="9"/>
      <c r="FM621" s="9"/>
      <c r="FN621" s="9"/>
      <c r="FO621" s="9"/>
      <c r="FP621" s="9"/>
      <c r="FQ621" s="9"/>
      <c r="FR621" s="9"/>
      <c r="FS621" s="9"/>
      <c r="FT621" s="9"/>
      <c r="FU621" s="9"/>
      <c r="FV621" s="9"/>
      <c r="FW621" s="9"/>
      <c r="FX621" s="9"/>
      <c r="FY621" s="9"/>
      <c r="FZ621" s="9"/>
      <c r="GA621" s="9"/>
      <c r="GB621" s="9"/>
      <c r="GC621" s="9"/>
      <c r="GD621" s="9"/>
      <c r="GE621" s="9"/>
      <c r="GF621" s="9"/>
      <c r="GG621" s="9"/>
      <c r="GH621" s="9"/>
      <c r="GI621" s="9"/>
      <c r="GJ621" s="9"/>
      <c r="GK621" s="9"/>
      <c r="GL621" s="9"/>
      <c r="GM621" s="9"/>
      <c r="GN621" s="9"/>
      <c r="GO621" s="9"/>
      <c r="GP621" s="9"/>
      <c r="GQ621" s="9"/>
    </row>
    <row r="622" spans="2:199" ht="15"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  <c r="ES622" s="9"/>
      <c r="ET622" s="9"/>
      <c r="EU622" s="9"/>
      <c r="EV622" s="9"/>
      <c r="EW622" s="9"/>
      <c r="EX622" s="9"/>
      <c r="EY622" s="9"/>
      <c r="EZ622" s="9"/>
      <c r="FA622" s="9"/>
      <c r="FB622" s="9"/>
      <c r="FC622" s="9"/>
      <c r="FD622" s="9"/>
      <c r="FE622" s="9"/>
      <c r="FF622" s="9"/>
      <c r="FG622" s="9"/>
      <c r="FH622" s="9"/>
      <c r="FI622" s="9"/>
      <c r="FJ622" s="9"/>
      <c r="FK622" s="9"/>
      <c r="FL622" s="9"/>
      <c r="FM622" s="9"/>
      <c r="FN622" s="9"/>
      <c r="FO622" s="9"/>
      <c r="FP622" s="9"/>
      <c r="FQ622" s="9"/>
      <c r="FR622" s="9"/>
      <c r="FS622" s="9"/>
      <c r="FT622" s="9"/>
      <c r="FU622" s="9"/>
      <c r="FV622" s="9"/>
      <c r="FW622" s="9"/>
      <c r="FX622" s="9"/>
      <c r="FY622" s="9"/>
      <c r="FZ622" s="9"/>
      <c r="GA622" s="9"/>
      <c r="GB622" s="9"/>
      <c r="GC622" s="9"/>
      <c r="GD622" s="9"/>
      <c r="GE622" s="9"/>
      <c r="GF622" s="9"/>
      <c r="GG622" s="9"/>
      <c r="GH622" s="9"/>
      <c r="GI622" s="9"/>
      <c r="GJ622" s="9"/>
      <c r="GK622" s="9"/>
      <c r="GL622" s="9"/>
      <c r="GM622" s="9"/>
      <c r="GN622" s="9"/>
      <c r="GO622" s="9"/>
      <c r="GP622" s="9"/>
      <c r="GQ622" s="9"/>
    </row>
    <row r="623" spans="2:199" ht="15"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  <c r="FI623" s="9"/>
      <c r="FJ623" s="9"/>
      <c r="FK623" s="9"/>
      <c r="FL623" s="9"/>
      <c r="FM623" s="9"/>
      <c r="FN623" s="9"/>
      <c r="FO623" s="9"/>
      <c r="FP623" s="9"/>
      <c r="FQ623" s="9"/>
      <c r="FR623" s="9"/>
      <c r="FS623" s="9"/>
      <c r="FT623" s="9"/>
      <c r="FU623" s="9"/>
      <c r="FV623" s="9"/>
      <c r="FW623" s="9"/>
      <c r="FX623" s="9"/>
      <c r="FY623" s="9"/>
      <c r="FZ623" s="9"/>
      <c r="GA623" s="9"/>
      <c r="GB623" s="9"/>
      <c r="GC623" s="9"/>
      <c r="GD623" s="9"/>
      <c r="GE623" s="9"/>
      <c r="GF623" s="9"/>
      <c r="GG623" s="9"/>
      <c r="GH623" s="9"/>
      <c r="GI623" s="9"/>
      <c r="GJ623" s="9"/>
      <c r="GK623" s="9"/>
      <c r="GL623" s="9"/>
      <c r="GM623" s="9"/>
      <c r="GN623" s="9"/>
      <c r="GO623" s="9"/>
      <c r="GP623" s="9"/>
      <c r="GQ623" s="9"/>
    </row>
    <row r="624" spans="2:199" ht="15"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  <c r="FI624" s="9"/>
      <c r="FJ624" s="9"/>
      <c r="FK624" s="9"/>
      <c r="FL624" s="9"/>
      <c r="FM624" s="9"/>
      <c r="FN624" s="9"/>
      <c r="FO624" s="9"/>
      <c r="FP624" s="9"/>
      <c r="FQ624" s="9"/>
      <c r="FR624" s="9"/>
      <c r="FS624" s="9"/>
      <c r="FT624" s="9"/>
      <c r="FU624" s="9"/>
      <c r="FV624" s="9"/>
      <c r="FW624" s="9"/>
      <c r="FX624" s="9"/>
      <c r="FY624" s="9"/>
      <c r="FZ624" s="9"/>
      <c r="GA624" s="9"/>
      <c r="GB624" s="9"/>
      <c r="GC624" s="9"/>
      <c r="GD624" s="9"/>
      <c r="GE624" s="9"/>
      <c r="GF624" s="9"/>
      <c r="GG624" s="9"/>
      <c r="GH624" s="9"/>
      <c r="GI624" s="9"/>
      <c r="GJ624" s="9"/>
      <c r="GK624" s="9"/>
      <c r="GL624" s="9"/>
      <c r="GM624" s="9"/>
      <c r="GN624" s="9"/>
      <c r="GO624" s="9"/>
      <c r="GP624" s="9"/>
      <c r="GQ624" s="9"/>
    </row>
    <row r="625" spans="2:199" ht="15"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  <c r="FI625" s="9"/>
      <c r="FJ625" s="9"/>
      <c r="FK625" s="9"/>
      <c r="FL625" s="9"/>
      <c r="FM625" s="9"/>
      <c r="FN625" s="9"/>
      <c r="FO625" s="9"/>
      <c r="FP625" s="9"/>
      <c r="FQ625" s="9"/>
      <c r="FR625" s="9"/>
      <c r="FS625" s="9"/>
      <c r="FT625" s="9"/>
      <c r="FU625" s="9"/>
      <c r="FV625" s="9"/>
      <c r="FW625" s="9"/>
      <c r="FX625" s="9"/>
      <c r="FY625" s="9"/>
      <c r="FZ625" s="9"/>
      <c r="GA625" s="9"/>
      <c r="GB625" s="9"/>
      <c r="GC625" s="9"/>
      <c r="GD625" s="9"/>
      <c r="GE625" s="9"/>
      <c r="GF625" s="9"/>
      <c r="GG625" s="9"/>
      <c r="GH625" s="9"/>
      <c r="GI625" s="9"/>
      <c r="GJ625" s="9"/>
      <c r="GK625" s="9"/>
      <c r="GL625" s="9"/>
      <c r="GM625" s="9"/>
      <c r="GN625" s="9"/>
      <c r="GO625" s="9"/>
      <c r="GP625" s="9"/>
      <c r="GQ625" s="9"/>
    </row>
    <row r="626" spans="2:199" ht="15"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  <c r="FI626" s="9"/>
      <c r="FJ626" s="9"/>
      <c r="FK626" s="9"/>
      <c r="FL626" s="9"/>
      <c r="FM626" s="9"/>
      <c r="FN626" s="9"/>
      <c r="FO626" s="9"/>
      <c r="FP626" s="9"/>
      <c r="FQ626" s="9"/>
      <c r="FR626" s="9"/>
      <c r="FS626" s="9"/>
      <c r="FT626" s="9"/>
      <c r="FU626" s="9"/>
      <c r="FV626" s="9"/>
      <c r="FW626" s="9"/>
      <c r="FX626" s="9"/>
      <c r="FY626" s="9"/>
      <c r="FZ626" s="9"/>
      <c r="GA626" s="9"/>
      <c r="GB626" s="9"/>
      <c r="GC626" s="9"/>
      <c r="GD626" s="9"/>
      <c r="GE626" s="9"/>
      <c r="GF626" s="9"/>
      <c r="GG626" s="9"/>
      <c r="GH626" s="9"/>
      <c r="GI626" s="9"/>
      <c r="GJ626" s="9"/>
      <c r="GK626" s="9"/>
      <c r="GL626" s="9"/>
      <c r="GM626" s="9"/>
      <c r="GN626" s="9"/>
      <c r="GO626" s="9"/>
      <c r="GP626" s="9"/>
      <c r="GQ626" s="9"/>
    </row>
    <row r="627" spans="2:199" ht="15"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  <c r="FI627" s="9"/>
      <c r="FJ627" s="9"/>
      <c r="FK627" s="9"/>
      <c r="FL627" s="9"/>
      <c r="FM627" s="9"/>
      <c r="FN627" s="9"/>
      <c r="FO627" s="9"/>
      <c r="FP627" s="9"/>
      <c r="FQ627" s="9"/>
      <c r="FR627" s="9"/>
      <c r="FS627" s="9"/>
      <c r="FT627" s="9"/>
      <c r="FU627" s="9"/>
      <c r="FV627" s="9"/>
      <c r="FW627" s="9"/>
      <c r="FX627" s="9"/>
      <c r="FY627" s="9"/>
      <c r="FZ627" s="9"/>
      <c r="GA627" s="9"/>
      <c r="GB627" s="9"/>
      <c r="GC627" s="9"/>
      <c r="GD627" s="9"/>
      <c r="GE627" s="9"/>
      <c r="GF627" s="9"/>
      <c r="GG627" s="9"/>
      <c r="GH627" s="9"/>
      <c r="GI627" s="9"/>
      <c r="GJ627" s="9"/>
      <c r="GK627" s="9"/>
      <c r="GL627" s="9"/>
      <c r="GM627" s="9"/>
      <c r="GN627" s="9"/>
      <c r="GO627" s="9"/>
      <c r="GP627" s="9"/>
      <c r="GQ627" s="9"/>
    </row>
    <row r="628" spans="2:199" ht="15"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  <c r="FI628" s="9"/>
      <c r="FJ628" s="9"/>
      <c r="FK628" s="9"/>
      <c r="FL628" s="9"/>
      <c r="FM628" s="9"/>
      <c r="FN628" s="9"/>
      <c r="FO628" s="9"/>
      <c r="FP628" s="9"/>
      <c r="FQ628" s="9"/>
      <c r="FR628" s="9"/>
      <c r="FS628" s="9"/>
      <c r="FT628" s="9"/>
      <c r="FU628" s="9"/>
      <c r="FV628" s="9"/>
      <c r="FW628" s="9"/>
      <c r="FX628" s="9"/>
      <c r="FY628" s="9"/>
      <c r="FZ628" s="9"/>
      <c r="GA628" s="9"/>
      <c r="GB628" s="9"/>
      <c r="GC628" s="9"/>
      <c r="GD628" s="9"/>
      <c r="GE628" s="9"/>
      <c r="GF628" s="9"/>
      <c r="GG628" s="9"/>
      <c r="GH628" s="9"/>
      <c r="GI628" s="9"/>
      <c r="GJ628" s="9"/>
      <c r="GK628" s="9"/>
      <c r="GL628" s="9"/>
      <c r="GM628" s="9"/>
      <c r="GN628" s="9"/>
      <c r="GO628" s="9"/>
      <c r="GP628" s="9"/>
      <c r="GQ628" s="9"/>
    </row>
    <row r="629" spans="2:199" ht="15"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  <c r="FI629" s="9"/>
      <c r="FJ629" s="9"/>
      <c r="FK629" s="9"/>
      <c r="FL629" s="9"/>
      <c r="FM629" s="9"/>
      <c r="FN629" s="9"/>
      <c r="FO629" s="9"/>
      <c r="FP629" s="9"/>
      <c r="FQ629" s="9"/>
      <c r="FR629" s="9"/>
      <c r="FS629" s="9"/>
      <c r="FT629" s="9"/>
      <c r="FU629" s="9"/>
      <c r="FV629" s="9"/>
      <c r="FW629" s="9"/>
      <c r="FX629" s="9"/>
      <c r="FY629" s="9"/>
      <c r="FZ629" s="9"/>
      <c r="GA629" s="9"/>
      <c r="GB629" s="9"/>
      <c r="GC629" s="9"/>
      <c r="GD629" s="9"/>
      <c r="GE629" s="9"/>
      <c r="GF629" s="9"/>
      <c r="GG629" s="9"/>
      <c r="GH629" s="9"/>
      <c r="GI629" s="9"/>
      <c r="GJ629" s="9"/>
      <c r="GK629" s="9"/>
      <c r="GL629" s="9"/>
      <c r="GM629" s="9"/>
      <c r="GN629" s="9"/>
      <c r="GO629" s="9"/>
      <c r="GP629" s="9"/>
      <c r="GQ629" s="9"/>
    </row>
    <row r="630" spans="2:199" ht="15"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  <c r="FJ630" s="9"/>
      <c r="FK630" s="9"/>
      <c r="FL630" s="9"/>
      <c r="FM630" s="9"/>
      <c r="FN630" s="9"/>
      <c r="FO630" s="9"/>
      <c r="FP630" s="9"/>
      <c r="FQ630" s="9"/>
      <c r="FR630" s="9"/>
      <c r="FS630" s="9"/>
      <c r="FT630" s="9"/>
      <c r="FU630" s="9"/>
      <c r="FV630" s="9"/>
      <c r="FW630" s="9"/>
      <c r="FX630" s="9"/>
      <c r="FY630" s="9"/>
      <c r="FZ630" s="9"/>
      <c r="GA630" s="9"/>
      <c r="GB630" s="9"/>
      <c r="GC630" s="9"/>
      <c r="GD630" s="9"/>
      <c r="GE630" s="9"/>
      <c r="GF630" s="9"/>
      <c r="GG630" s="9"/>
      <c r="GH630" s="9"/>
      <c r="GI630" s="9"/>
      <c r="GJ630" s="9"/>
      <c r="GK630" s="9"/>
      <c r="GL630" s="9"/>
      <c r="GM630" s="9"/>
      <c r="GN630" s="9"/>
      <c r="GO630" s="9"/>
      <c r="GP630" s="9"/>
      <c r="GQ630" s="9"/>
    </row>
    <row r="631" spans="2:199" ht="15"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  <c r="FI631" s="9"/>
      <c r="FJ631" s="9"/>
      <c r="FK631" s="9"/>
      <c r="FL631" s="9"/>
      <c r="FM631" s="9"/>
      <c r="FN631" s="9"/>
      <c r="FO631" s="9"/>
      <c r="FP631" s="9"/>
      <c r="FQ631" s="9"/>
      <c r="FR631" s="9"/>
      <c r="FS631" s="9"/>
      <c r="FT631" s="9"/>
      <c r="FU631" s="9"/>
      <c r="FV631" s="9"/>
      <c r="FW631" s="9"/>
      <c r="FX631" s="9"/>
      <c r="FY631" s="9"/>
      <c r="FZ631" s="9"/>
      <c r="GA631" s="9"/>
      <c r="GB631" s="9"/>
      <c r="GC631" s="9"/>
      <c r="GD631" s="9"/>
      <c r="GE631" s="9"/>
      <c r="GF631" s="9"/>
      <c r="GG631" s="9"/>
      <c r="GH631" s="9"/>
      <c r="GI631" s="9"/>
      <c r="GJ631" s="9"/>
      <c r="GK631" s="9"/>
      <c r="GL631" s="9"/>
      <c r="GM631" s="9"/>
      <c r="GN631" s="9"/>
      <c r="GO631" s="9"/>
      <c r="GP631" s="9"/>
      <c r="GQ631" s="9"/>
    </row>
    <row r="632" spans="2:199" ht="15"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  <c r="FI632" s="9"/>
      <c r="FJ632" s="9"/>
      <c r="FK632" s="9"/>
      <c r="FL632" s="9"/>
      <c r="FM632" s="9"/>
      <c r="FN632" s="9"/>
      <c r="FO632" s="9"/>
      <c r="FP632" s="9"/>
      <c r="FQ632" s="9"/>
      <c r="FR632" s="9"/>
      <c r="FS632" s="9"/>
      <c r="FT632" s="9"/>
      <c r="FU632" s="9"/>
      <c r="FV632" s="9"/>
      <c r="FW632" s="9"/>
      <c r="FX632" s="9"/>
      <c r="FY632" s="9"/>
      <c r="FZ632" s="9"/>
      <c r="GA632" s="9"/>
      <c r="GB632" s="9"/>
      <c r="GC632" s="9"/>
      <c r="GD632" s="9"/>
      <c r="GE632" s="9"/>
      <c r="GF632" s="9"/>
      <c r="GG632" s="9"/>
      <c r="GH632" s="9"/>
      <c r="GI632" s="9"/>
      <c r="GJ632" s="9"/>
      <c r="GK632" s="9"/>
      <c r="GL632" s="9"/>
      <c r="GM632" s="9"/>
      <c r="GN632" s="9"/>
      <c r="GO632" s="9"/>
      <c r="GP632" s="9"/>
      <c r="GQ632" s="9"/>
    </row>
    <row r="633" spans="2:199" ht="15"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  <c r="FJ633" s="9"/>
      <c r="FK633" s="9"/>
      <c r="FL633" s="9"/>
      <c r="FM633" s="9"/>
      <c r="FN633" s="9"/>
      <c r="FO633" s="9"/>
      <c r="FP633" s="9"/>
      <c r="FQ633" s="9"/>
      <c r="FR633" s="9"/>
      <c r="FS633" s="9"/>
      <c r="FT633" s="9"/>
      <c r="FU633" s="9"/>
      <c r="FV633" s="9"/>
      <c r="FW633" s="9"/>
      <c r="FX633" s="9"/>
      <c r="FY633" s="9"/>
      <c r="FZ633" s="9"/>
      <c r="GA633" s="9"/>
      <c r="GB633" s="9"/>
      <c r="GC633" s="9"/>
      <c r="GD633" s="9"/>
      <c r="GE633" s="9"/>
      <c r="GF633" s="9"/>
      <c r="GG633" s="9"/>
      <c r="GH633" s="9"/>
      <c r="GI633" s="9"/>
      <c r="GJ633" s="9"/>
      <c r="GK633" s="9"/>
      <c r="GL633" s="9"/>
      <c r="GM633" s="9"/>
      <c r="GN633" s="9"/>
      <c r="GO633" s="9"/>
      <c r="GP633" s="9"/>
      <c r="GQ633" s="9"/>
    </row>
    <row r="634" spans="2:199" ht="15"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  <c r="FI634" s="9"/>
      <c r="FJ634" s="9"/>
      <c r="FK634" s="9"/>
      <c r="FL634" s="9"/>
      <c r="FM634" s="9"/>
      <c r="FN634" s="9"/>
      <c r="FO634" s="9"/>
      <c r="FP634" s="9"/>
      <c r="FQ634" s="9"/>
      <c r="FR634" s="9"/>
      <c r="FS634" s="9"/>
      <c r="FT634" s="9"/>
      <c r="FU634" s="9"/>
      <c r="FV634" s="9"/>
      <c r="FW634" s="9"/>
      <c r="FX634" s="9"/>
      <c r="FY634" s="9"/>
      <c r="FZ634" s="9"/>
      <c r="GA634" s="9"/>
      <c r="GB634" s="9"/>
      <c r="GC634" s="9"/>
      <c r="GD634" s="9"/>
      <c r="GE634" s="9"/>
      <c r="GF634" s="9"/>
      <c r="GG634" s="9"/>
      <c r="GH634" s="9"/>
      <c r="GI634" s="9"/>
      <c r="GJ634" s="9"/>
      <c r="GK634" s="9"/>
      <c r="GL634" s="9"/>
      <c r="GM634" s="9"/>
      <c r="GN634" s="9"/>
      <c r="GO634" s="9"/>
      <c r="GP634" s="9"/>
      <c r="GQ634" s="9"/>
    </row>
    <row r="635" spans="2:199" ht="15"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  <c r="FJ635" s="9"/>
      <c r="FK635" s="9"/>
      <c r="FL635" s="9"/>
      <c r="FM635" s="9"/>
      <c r="FN635" s="9"/>
      <c r="FO635" s="9"/>
      <c r="FP635" s="9"/>
      <c r="FQ635" s="9"/>
      <c r="FR635" s="9"/>
      <c r="FS635" s="9"/>
      <c r="FT635" s="9"/>
      <c r="FU635" s="9"/>
      <c r="FV635" s="9"/>
      <c r="FW635" s="9"/>
      <c r="FX635" s="9"/>
      <c r="FY635" s="9"/>
      <c r="FZ635" s="9"/>
      <c r="GA635" s="9"/>
      <c r="GB635" s="9"/>
      <c r="GC635" s="9"/>
      <c r="GD635" s="9"/>
      <c r="GE635" s="9"/>
      <c r="GF635" s="9"/>
      <c r="GG635" s="9"/>
      <c r="GH635" s="9"/>
      <c r="GI635" s="9"/>
      <c r="GJ635" s="9"/>
      <c r="GK635" s="9"/>
      <c r="GL635" s="9"/>
      <c r="GM635" s="9"/>
      <c r="GN635" s="9"/>
      <c r="GO635" s="9"/>
      <c r="GP635" s="9"/>
      <c r="GQ635" s="9"/>
    </row>
    <row r="636" spans="2:199" ht="15"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  <c r="FS636" s="9"/>
      <c r="FT636" s="9"/>
      <c r="FU636" s="9"/>
      <c r="FV636" s="9"/>
      <c r="FW636" s="9"/>
      <c r="FX636" s="9"/>
      <c r="FY636" s="9"/>
      <c r="FZ636" s="9"/>
      <c r="GA636" s="9"/>
      <c r="GB636" s="9"/>
      <c r="GC636" s="9"/>
      <c r="GD636" s="9"/>
      <c r="GE636" s="9"/>
      <c r="GF636" s="9"/>
      <c r="GG636" s="9"/>
      <c r="GH636" s="9"/>
      <c r="GI636" s="9"/>
      <c r="GJ636" s="9"/>
      <c r="GK636" s="9"/>
      <c r="GL636" s="9"/>
      <c r="GM636" s="9"/>
      <c r="GN636" s="9"/>
      <c r="GO636" s="9"/>
      <c r="GP636" s="9"/>
      <c r="GQ636" s="9"/>
    </row>
    <row r="637" spans="2:199" ht="15"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  <c r="FJ637" s="9"/>
      <c r="FK637" s="9"/>
      <c r="FL637" s="9"/>
      <c r="FM637" s="9"/>
      <c r="FN637" s="9"/>
      <c r="FO637" s="9"/>
      <c r="FP637" s="9"/>
      <c r="FQ637" s="9"/>
      <c r="FR637" s="9"/>
      <c r="FS637" s="9"/>
      <c r="FT637" s="9"/>
      <c r="FU637" s="9"/>
      <c r="FV637" s="9"/>
      <c r="FW637" s="9"/>
      <c r="FX637" s="9"/>
      <c r="FY637" s="9"/>
      <c r="FZ637" s="9"/>
      <c r="GA637" s="9"/>
      <c r="GB637" s="9"/>
      <c r="GC637" s="9"/>
      <c r="GD637" s="9"/>
      <c r="GE637" s="9"/>
      <c r="GF637" s="9"/>
      <c r="GG637" s="9"/>
      <c r="GH637" s="9"/>
      <c r="GI637" s="9"/>
      <c r="GJ637" s="9"/>
      <c r="GK637" s="9"/>
      <c r="GL637" s="9"/>
      <c r="GM637" s="9"/>
      <c r="GN637" s="9"/>
      <c r="GO637" s="9"/>
      <c r="GP637" s="9"/>
      <c r="GQ637" s="9"/>
    </row>
    <row r="638" spans="2:199" ht="15"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  <c r="ES638" s="9"/>
      <c r="ET638" s="9"/>
      <c r="EU638" s="9"/>
      <c r="EV638" s="9"/>
      <c r="EW638" s="9"/>
      <c r="EX638" s="9"/>
      <c r="EY638" s="9"/>
      <c r="EZ638" s="9"/>
      <c r="FA638" s="9"/>
      <c r="FB638" s="9"/>
      <c r="FC638" s="9"/>
      <c r="FD638" s="9"/>
      <c r="FE638" s="9"/>
      <c r="FF638" s="9"/>
      <c r="FG638" s="9"/>
      <c r="FH638" s="9"/>
      <c r="FI638" s="9"/>
      <c r="FJ638" s="9"/>
      <c r="FK638" s="9"/>
      <c r="FL638" s="9"/>
      <c r="FM638" s="9"/>
      <c r="FN638" s="9"/>
      <c r="FO638" s="9"/>
      <c r="FP638" s="9"/>
      <c r="FQ638" s="9"/>
      <c r="FR638" s="9"/>
      <c r="FS638" s="9"/>
      <c r="FT638" s="9"/>
      <c r="FU638" s="9"/>
      <c r="FV638" s="9"/>
      <c r="FW638" s="9"/>
      <c r="FX638" s="9"/>
      <c r="FY638" s="9"/>
      <c r="FZ638" s="9"/>
      <c r="GA638" s="9"/>
      <c r="GB638" s="9"/>
      <c r="GC638" s="9"/>
      <c r="GD638" s="9"/>
      <c r="GE638" s="9"/>
      <c r="GF638" s="9"/>
      <c r="GG638" s="9"/>
      <c r="GH638" s="9"/>
      <c r="GI638" s="9"/>
      <c r="GJ638" s="9"/>
      <c r="GK638" s="9"/>
      <c r="GL638" s="9"/>
      <c r="GM638" s="9"/>
      <c r="GN638" s="9"/>
      <c r="GO638" s="9"/>
      <c r="GP638" s="9"/>
      <c r="GQ638" s="9"/>
    </row>
    <row r="639" spans="2:199" ht="15"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  <c r="ES639" s="9"/>
      <c r="ET639" s="9"/>
      <c r="EU639" s="9"/>
      <c r="EV639" s="9"/>
      <c r="EW639" s="9"/>
      <c r="EX639" s="9"/>
      <c r="EY639" s="9"/>
      <c r="EZ639" s="9"/>
      <c r="FA639" s="9"/>
      <c r="FB639" s="9"/>
      <c r="FC639" s="9"/>
      <c r="FD639" s="9"/>
      <c r="FE639" s="9"/>
      <c r="FF639" s="9"/>
      <c r="FG639" s="9"/>
      <c r="FH639" s="9"/>
      <c r="FI639" s="9"/>
      <c r="FJ639" s="9"/>
      <c r="FK639" s="9"/>
      <c r="FL639" s="9"/>
      <c r="FM639" s="9"/>
      <c r="FN639" s="9"/>
      <c r="FO639" s="9"/>
      <c r="FP639" s="9"/>
      <c r="FQ639" s="9"/>
      <c r="FR639" s="9"/>
      <c r="FS639" s="9"/>
      <c r="FT639" s="9"/>
      <c r="FU639" s="9"/>
      <c r="FV639" s="9"/>
      <c r="FW639" s="9"/>
      <c r="FX639" s="9"/>
      <c r="FY639" s="9"/>
      <c r="FZ639" s="9"/>
      <c r="GA639" s="9"/>
      <c r="GB639" s="9"/>
      <c r="GC639" s="9"/>
      <c r="GD639" s="9"/>
      <c r="GE639" s="9"/>
      <c r="GF639" s="9"/>
      <c r="GG639" s="9"/>
      <c r="GH639" s="9"/>
      <c r="GI639" s="9"/>
      <c r="GJ639" s="9"/>
      <c r="GK639" s="9"/>
      <c r="GL639" s="9"/>
      <c r="GM639" s="9"/>
      <c r="GN639" s="9"/>
      <c r="GO639" s="9"/>
      <c r="GP639" s="9"/>
      <c r="GQ639" s="9"/>
    </row>
    <row r="640" spans="2:199" ht="15"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  <c r="ES640" s="9"/>
      <c r="ET640" s="9"/>
      <c r="EU640" s="9"/>
      <c r="EV640" s="9"/>
      <c r="EW640" s="9"/>
      <c r="EX640" s="9"/>
      <c r="EY640" s="9"/>
      <c r="EZ640" s="9"/>
      <c r="FA640" s="9"/>
      <c r="FB640" s="9"/>
      <c r="FC640" s="9"/>
      <c r="FD640" s="9"/>
      <c r="FE640" s="9"/>
      <c r="FF640" s="9"/>
      <c r="FG640" s="9"/>
      <c r="FH640" s="9"/>
      <c r="FI640" s="9"/>
      <c r="FJ640" s="9"/>
      <c r="FK640" s="9"/>
      <c r="FL640" s="9"/>
      <c r="FM640" s="9"/>
      <c r="FN640" s="9"/>
      <c r="FO640" s="9"/>
      <c r="FP640" s="9"/>
      <c r="FQ640" s="9"/>
      <c r="FR640" s="9"/>
      <c r="FS640" s="9"/>
      <c r="FT640" s="9"/>
      <c r="FU640" s="9"/>
      <c r="FV640" s="9"/>
      <c r="FW640" s="9"/>
      <c r="FX640" s="9"/>
      <c r="FY640" s="9"/>
      <c r="FZ640" s="9"/>
      <c r="GA640" s="9"/>
      <c r="GB640" s="9"/>
      <c r="GC640" s="9"/>
      <c r="GD640" s="9"/>
      <c r="GE640" s="9"/>
      <c r="GF640" s="9"/>
      <c r="GG640" s="9"/>
      <c r="GH640" s="9"/>
      <c r="GI640" s="9"/>
      <c r="GJ640" s="9"/>
      <c r="GK640" s="9"/>
      <c r="GL640" s="9"/>
      <c r="GM640" s="9"/>
      <c r="GN640" s="9"/>
      <c r="GO640" s="9"/>
      <c r="GP640" s="9"/>
      <c r="GQ640" s="9"/>
    </row>
    <row r="641" spans="2:199" ht="15"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  <c r="ES641" s="9"/>
      <c r="ET641" s="9"/>
      <c r="EU641" s="9"/>
      <c r="EV641" s="9"/>
      <c r="EW641" s="9"/>
      <c r="EX641" s="9"/>
      <c r="EY641" s="9"/>
      <c r="EZ641" s="9"/>
      <c r="FA641" s="9"/>
      <c r="FB641" s="9"/>
      <c r="FC641" s="9"/>
      <c r="FD641" s="9"/>
      <c r="FE641" s="9"/>
      <c r="FF641" s="9"/>
      <c r="FG641" s="9"/>
      <c r="FH641" s="9"/>
      <c r="FI641" s="9"/>
      <c r="FJ641" s="9"/>
      <c r="FK641" s="9"/>
      <c r="FL641" s="9"/>
      <c r="FM641" s="9"/>
      <c r="FN641" s="9"/>
      <c r="FO641" s="9"/>
      <c r="FP641" s="9"/>
      <c r="FQ641" s="9"/>
      <c r="FR641" s="9"/>
      <c r="FS641" s="9"/>
      <c r="FT641" s="9"/>
      <c r="FU641" s="9"/>
      <c r="FV641" s="9"/>
      <c r="FW641" s="9"/>
      <c r="FX641" s="9"/>
      <c r="FY641" s="9"/>
      <c r="FZ641" s="9"/>
      <c r="GA641" s="9"/>
      <c r="GB641" s="9"/>
      <c r="GC641" s="9"/>
      <c r="GD641" s="9"/>
      <c r="GE641" s="9"/>
      <c r="GF641" s="9"/>
      <c r="GG641" s="9"/>
      <c r="GH641" s="9"/>
      <c r="GI641" s="9"/>
      <c r="GJ641" s="9"/>
      <c r="GK641" s="9"/>
      <c r="GL641" s="9"/>
      <c r="GM641" s="9"/>
      <c r="GN641" s="9"/>
      <c r="GO641" s="9"/>
      <c r="GP641" s="9"/>
      <c r="GQ641" s="9"/>
    </row>
    <row r="642" spans="2:199" ht="15"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  <c r="FI642" s="9"/>
      <c r="FJ642" s="9"/>
      <c r="FK642" s="9"/>
      <c r="FL642" s="9"/>
      <c r="FM642" s="9"/>
      <c r="FN642" s="9"/>
      <c r="FO642" s="9"/>
      <c r="FP642" s="9"/>
      <c r="FQ642" s="9"/>
      <c r="FR642" s="9"/>
      <c r="FS642" s="9"/>
      <c r="FT642" s="9"/>
      <c r="FU642" s="9"/>
      <c r="FV642" s="9"/>
      <c r="FW642" s="9"/>
      <c r="FX642" s="9"/>
      <c r="FY642" s="9"/>
      <c r="FZ642" s="9"/>
      <c r="GA642" s="9"/>
      <c r="GB642" s="9"/>
      <c r="GC642" s="9"/>
      <c r="GD642" s="9"/>
      <c r="GE642" s="9"/>
      <c r="GF642" s="9"/>
      <c r="GG642" s="9"/>
      <c r="GH642" s="9"/>
      <c r="GI642" s="9"/>
      <c r="GJ642" s="9"/>
      <c r="GK642" s="9"/>
      <c r="GL642" s="9"/>
      <c r="GM642" s="9"/>
      <c r="GN642" s="9"/>
      <c r="GO642" s="9"/>
      <c r="GP642" s="9"/>
      <c r="GQ642" s="9"/>
    </row>
    <row r="643" spans="2:199" ht="15"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  <c r="FI643" s="9"/>
      <c r="FJ643" s="9"/>
      <c r="FK643" s="9"/>
      <c r="FL643" s="9"/>
      <c r="FM643" s="9"/>
      <c r="FN643" s="9"/>
      <c r="FO643" s="9"/>
      <c r="FP643" s="9"/>
      <c r="FQ643" s="9"/>
      <c r="FR643" s="9"/>
      <c r="FS643" s="9"/>
      <c r="FT643" s="9"/>
      <c r="FU643" s="9"/>
      <c r="FV643" s="9"/>
      <c r="FW643" s="9"/>
      <c r="FX643" s="9"/>
      <c r="FY643" s="9"/>
      <c r="FZ643" s="9"/>
      <c r="GA643" s="9"/>
      <c r="GB643" s="9"/>
      <c r="GC643" s="9"/>
      <c r="GD643" s="9"/>
      <c r="GE643" s="9"/>
      <c r="GF643" s="9"/>
      <c r="GG643" s="9"/>
      <c r="GH643" s="9"/>
      <c r="GI643" s="9"/>
      <c r="GJ643" s="9"/>
      <c r="GK643" s="9"/>
      <c r="GL643" s="9"/>
      <c r="GM643" s="9"/>
      <c r="GN643" s="9"/>
      <c r="GO643" s="9"/>
      <c r="GP643" s="9"/>
      <c r="GQ643" s="9"/>
    </row>
    <row r="644" spans="2:199" ht="15"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  <c r="FJ644" s="9"/>
      <c r="FK644" s="9"/>
      <c r="FL644" s="9"/>
      <c r="FM644" s="9"/>
      <c r="FN644" s="9"/>
      <c r="FO644" s="9"/>
      <c r="FP644" s="9"/>
      <c r="FQ644" s="9"/>
      <c r="FR644" s="9"/>
      <c r="FS644" s="9"/>
      <c r="FT644" s="9"/>
      <c r="FU644" s="9"/>
      <c r="FV644" s="9"/>
      <c r="FW644" s="9"/>
      <c r="FX644" s="9"/>
      <c r="FY644" s="9"/>
      <c r="FZ644" s="9"/>
      <c r="GA644" s="9"/>
      <c r="GB644" s="9"/>
      <c r="GC644" s="9"/>
      <c r="GD644" s="9"/>
      <c r="GE644" s="9"/>
      <c r="GF644" s="9"/>
      <c r="GG644" s="9"/>
      <c r="GH644" s="9"/>
      <c r="GI644" s="9"/>
      <c r="GJ644" s="9"/>
      <c r="GK644" s="9"/>
      <c r="GL644" s="9"/>
      <c r="GM644" s="9"/>
      <c r="GN644" s="9"/>
      <c r="GO644" s="9"/>
      <c r="GP644" s="9"/>
      <c r="GQ644" s="9"/>
    </row>
    <row r="645" spans="2:199" ht="15"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  <c r="GA645" s="9"/>
      <c r="GB645" s="9"/>
      <c r="GC645" s="9"/>
      <c r="GD645" s="9"/>
      <c r="GE645" s="9"/>
      <c r="GF645" s="9"/>
      <c r="GG645" s="9"/>
      <c r="GH645" s="9"/>
      <c r="GI645" s="9"/>
      <c r="GJ645" s="9"/>
      <c r="GK645" s="9"/>
      <c r="GL645" s="9"/>
      <c r="GM645" s="9"/>
      <c r="GN645" s="9"/>
      <c r="GO645" s="9"/>
      <c r="GP645" s="9"/>
      <c r="GQ645" s="9"/>
    </row>
    <row r="646" spans="2:199" ht="15"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  <c r="ES646" s="9"/>
      <c r="ET646" s="9"/>
      <c r="EU646" s="9"/>
      <c r="EV646" s="9"/>
      <c r="EW646" s="9"/>
      <c r="EX646" s="9"/>
      <c r="EY646" s="9"/>
      <c r="EZ646" s="9"/>
      <c r="FA646" s="9"/>
      <c r="FB646" s="9"/>
      <c r="FC646" s="9"/>
      <c r="FD646" s="9"/>
      <c r="FE646" s="9"/>
      <c r="FF646" s="9"/>
      <c r="FG646" s="9"/>
      <c r="FH646" s="9"/>
      <c r="FI646" s="9"/>
      <c r="FJ646" s="9"/>
      <c r="FK646" s="9"/>
      <c r="FL646" s="9"/>
      <c r="FM646" s="9"/>
      <c r="FN646" s="9"/>
      <c r="FO646" s="9"/>
      <c r="FP646" s="9"/>
      <c r="FQ646" s="9"/>
      <c r="FR646" s="9"/>
      <c r="FS646" s="9"/>
      <c r="FT646" s="9"/>
      <c r="FU646" s="9"/>
      <c r="FV646" s="9"/>
      <c r="FW646" s="9"/>
      <c r="FX646" s="9"/>
      <c r="FY646" s="9"/>
      <c r="FZ646" s="9"/>
      <c r="GA646" s="9"/>
      <c r="GB646" s="9"/>
      <c r="GC646" s="9"/>
      <c r="GD646" s="9"/>
      <c r="GE646" s="9"/>
      <c r="GF646" s="9"/>
      <c r="GG646" s="9"/>
      <c r="GH646" s="9"/>
      <c r="GI646" s="9"/>
      <c r="GJ646" s="9"/>
      <c r="GK646" s="9"/>
      <c r="GL646" s="9"/>
      <c r="GM646" s="9"/>
      <c r="GN646" s="9"/>
      <c r="GO646" s="9"/>
      <c r="GP646" s="9"/>
      <c r="GQ646" s="9"/>
    </row>
    <row r="647" spans="2:199" ht="15"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  <c r="FJ647" s="9"/>
      <c r="FK647" s="9"/>
      <c r="FL647" s="9"/>
      <c r="FM647" s="9"/>
      <c r="FN647" s="9"/>
      <c r="FO647" s="9"/>
      <c r="FP647" s="9"/>
      <c r="FQ647" s="9"/>
      <c r="FR647" s="9"/>
      <c r="FS647" s="9"/>
      <c r="FT647" s="9"/>
      <c r="FU647" s="9"/>
      <c r="FV647" s="9"/>
      <c r="FW647" s="9"/>
      <c r="FX647" s="9"/>
      <c r="FY647" s="9"/>
      <c r="FZ647" s="9"/>
      <c r="GA647" s="9"/>
      <c r="GB647" s="9"/>
      <c r="GC647" s="9"/>
      <c r="GD647" s="9"/>
      <c r="GE647" s="9"/>
      <c r="GF647" s="9"/>
      <c r="GG647" s="9"/>
      <c r="GH647" s="9"/>
      <c r="GI647" s="9"/>
      <c r="GJ647" s="9"/>
      <c r="GK647" s="9"/>
      <c r="GL647" s="9"/>
      <c r="GM647" s="9"/>
      <c r="GN647" s="9"/>
      <c r="GO647" s="9"/>
      <c r="GP647" s="9"/>
      <c r="GQ647" s="9"/>
    </row>
    <row r="648" spans="2:199" ht="15"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  <c r="ES648" s="9"/>
      <c r="ET648" s="9"/>
      <c r="EU648" s="9"/>
      <c r="EV648" s="9"/>
      <c r="EW648" s="9"/>
      <c r="EX648" s="9"/>
      <c r="EY648" s="9"/>
      <c r="EZ648" s="9"/>
      <c r="FA648" s="9"/>
      <c r="FB648" s="9"/>
      <c r="FC648" s="9"/>
      <c r="FD648" s="9"/>
      <c r="FE648" s="9"/>
      <c r="FF648" s="9"/>
      <c r="FG648" s="9"/>
      <c r="FH648" s="9"/>
      <c r="FI648" s="9"/>
      <c r="FJ648" s="9"/>
      <c r="FK648" s="9"/>
      <c r="FL648" s="9"/>
      <c r="FM648" s="9"/>
      <c r="FN648" s="9"/>
      <c r="FO648" s="9"/>
      <c r="FP648" s="9"/>
      <c r="FQ648" s="9"/>
      <c r="FR648" s="9"/>
      <c r="FS648" s="9"/>
      <c r="FT648" s="9"/>
      <c r="FU648" s="9"/>
      <c r="FV648" s="9"/>
      <c r="FW648" s="9"/>
      <c r="FX648" s="9"/>
      <c r="FY648" s="9"/>
      <c r="FZ648" s="9"/>
      <c r="GA648" s="9"/>
      <c r="GB648" s="9"/>
      <c r="GC648" s="9"/>
      <c r="GD648" s="9"/>
      <c r="GE648" s="9"/>
      <c r="GF648" s="9"/>
      <c r="GG648" s="9"/>
      <c r="GH648" s="9"/>
      <c r="GI648" s="9"/>
      <c r="GJ648" s="9"/>
      <c r="GK648" s="9"/>
      <c r="GL648" s="9"/>
      <c r="GM648" s="9"/>
      <c r="GN648" s="9"/>
      <c r="GO648" s="9"/>
      <c r="GP648" s="9"/>
      <c r="GQ648" s="9"/>
    </row>
    <row r="649" spans="2:199" ht="15"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  <c r="ES649" s="9"/>
      <c r="ET649" s="9"/>
      <c r="EU649" s="9"/>
      <c r="EV649" s="9"/>
      <c r="EW649" s="9"/>
      <c r="EX649" s="9"/>
      <c r="EY649" s="9"/>
      <c r="EZ649" s="9"/>
      <c r="FA649" s="9"/>
      <c r="FB649" s="9"/>
      <c r="FC649" s="9"/>
      <c r="FD649" s="9"/>
      <c r="FE649" s="9"/>
      <c r="FF649" s="9"/>
      <c r="FG649" s="9"/>
      <c r="FH649" s="9"/>
      <c r="FI649" s="9"/>
      <c r="FJ649" s="9"/>
      <c r="FK649" s="9"/>
      <c r="FL649" s="9"/>
      <c r="FM649" s="9"/>
      <c r="FN649" s="9"/>
      <c r="FO649" s="9"/>
      <c r="FP649" s="9"/>
      <c r="FQ649" s="9"/>
      <c r="FR649" s="9"/>
      <c r="FS649" s="9"/>
      <c r="FT649" s="9"/>
      <c r="FU649" s="9"/>
      <c r="FV649" s="9"/>
      <c r="FW649" s="9"/>
      <c r="FX649" s="9"/>
      <c r="FY649" s="9"/>
      <c r="FZ649" s="9"/>
      <c r="GA649" s="9"/>
      <c r="GB649" s="9"/>
      <c r="GC649" s="9"/>
      <c r="GD649" s="9"/>
      <c r="GE649" s="9"/>
      <c r="GF649" s="9"/>
      <c r="GG649" s="9"/>
      <c r="GH649" s="9"/>
      <c r="GI649" s="9"/>
      <c r="GJ649" s="9"/>
      <c r="GK649" s="9"/>
      <c r="GL649" s="9"/>
      <c r="GM649" s="9"/>
      <c r="GN649" s="9"/>
      <c r="GO649" s="9"/>
      <c r="GP649" s="9"/>
      <c r="GQ649" s="9"/>
    </row>
    <row r="650" spans="2:199" ht="15"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  <c r="ES650" s="9"/>
      <c r="ET650" s="9"/>
      <c r="EU650" s="9"/>
      <c r="EV650" s="9"/>
      <c r="EW650" s="9"/>
      <c r="EX650" s="9"/>
      <c r="EY650" s="9"/>
      <c r="EZ650" s="9"/>
      <c r="FA650" s="9"/>
      <c r="FB650" s="9"/>
      <c r="FC650" s="9"/>
      <c r="FD650" s="9"/>
      <c r="FE650" s="9"/>
      <c r="FF650" s="9"/>
      <c r="FG650" s="9"/>
      <c r="FH650" s="9"/>
      <c r="FI650" s="9"/>
      <c r="FJ650" s="9"/>
      <c r="FK650" s="9"/>
      <c r="FL650" s="9"/>
      <c r="FM650" s="9"/>
      <c r="FN650" s="9"/>
      <c r="FO650" s="9"/>
      <c r="FP650" s="9"/>
      <c r="FQ650" s="9"/>
      <c r="FR650" s="9"/>
      <c r="FS650" s="9"/>
      <c r="FT650" s="9"/>
      <c r="FU650" s="9"/>
      <c r="FV650" s="9"/>
      <c r="FW650" s="9"/>
      <c r="FX650" s="9"/>
      <c r="FY650" s="9"/>
      <c r="FZ650" s="9"/>
      <c r="GA650" s="9"/>
      <c r="GB650" s="9"/>
      <c r="GC650" s="9"/>
      <c r="GD650" s="9"/>
      <c r="GE650" s="9"/>
      <c r="GF650" s="9"/>
      <c r="GG650" s="9"/>
      <c r="GH650" s="9"/>
      <c r="GI650" s="9"/>
      <c r="GJ650" s="9"/>
      <c r="GK650" s="9"/>
      <c r="GL650" s="9"/>
      <c r="GM650" s="9"/>
      <c r="GN650" s="9"/>
      <c r="GO650" s="9"/>
      <c r="GP650" s="9"/>
      <c r="GQ650" s="9"/>
    </row>
    <row r="651" spans="2:199" ht="15"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  <c r="ES651" s="9"/>
      <c r="ET651" s="9"/>
      <c r="EU651" s="9"/>
      <c r="EV651" s="9"/>
      <c r="EW651" s="9"/>
      <c r="EX651" s="9"/>
      <c r="EY651" s="9"/>
      <c r="EZ651" s="9"/>
      <c r="FA651" s="9"/>
      <c r="FB651" s="9"/>
      <c r="FC651" s="9"/>
      <c r="FD651" s="9"/>
      <c r="FE651" s="9"/>
      <c r="FF651" s="9"/>
      <c r="FG651" s="9"/>
      <c r="FH651" s="9"/>
      <c r="FI651" s="9"/>
      <c r="FJ651" s="9"/>
      <c r="FK651" s="9"/>
      <c r="FL651" s="9"/>
      <c r="FM651" s="9"/>
      <c r="FN651" s="9"/>
      <c r="FO651" s="9"/>
      <c r="FP651" s="9"/>
      <c r="FQ651" s="9"/>
      <c r="FR651" s="9"/>
      <c r="FS651" s="9"/>
      <c r="FT651" s="9"/>
      <c r="FU651" s="9"/>
      <c r="FV651" s="9"/>
      <c r="FW651" s="9"/>
      <c r="FX651" s="9"/>
      <c r="FY651" s="9"/>
      <c r="FZ651" s="9"/>
      <c r="GA651" s="9"/>
      <c r="GB651" s="9"/>
      <c r="GC651" s="9"/>
      <c r="GD651" s="9"/>
      <c r="GE651" s="9"/>
      <c r="GF651" s="9"/>
      <c r="GG651" s="9"/>
      <c r="GH651" s="9"/>
      <c r="GI651" s="9"/>
      <c r="GJ651" s="9"/>
      <c r="GK651" s="9"/>
      <c r="GL651" s="9"/>
      <c r="GM651" s="9"/>
      <c r="GN651" s="9"/>
      <c r="GO651" s="9"/>
      <c r="GP651" s="9"/>
      <c r="GQ651" s="9"/>
    </row>
    <row r="652" spans="2:199" ht="15"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  <c r="ER652" s="9"/>
      <c r="ES652" s="9"/>
      <c r="ET652" s="9"/>
      <c r="EU652" s="9"/>
      <c r="EV652" s="9"/>
      <c r="EW652" s="9"/>
      <c r="EX652" s="9"/>
      <c r="EY652" s="9"/>
      <c r="EZ652" s="9"/>
      <c r="FA652" s="9"/>
      <c r="FB652" s="9"/>
      <c r="FC652" s="9"/>
      <c r="FD652" s="9"/>
      <c r="FE652" s="9"/>
      <c r="FF652" s="9"/>
      <c r="FG652" s="9"/>
      <c r="FH652" s="9"/>
      <c r="FI652" s="9"/>
      <c r="FJ652" s="9"/>
      <c r="FK652" s="9"/>
      <c r="FL652" s="9"/>
      <c r="FM652" s="9"/>
      <c r="FN652" s="9"/>
      <c r="FO652" s="9"/>
      <c r="FP652" s="9"/>
      <c r="FQ652" s="9"/>
      <c r="FR652" s="9"/>
      <c r="FS652" s="9"/>
      <c r="FT652" s="9"/>
      <c r="FU652" s="9"/>
      <c r="FV652" s="9"/>
      <c r="FW652" s="9"/>
      <c r="FX652" s="9"/>
      <c r="FY652" s="9"/>
      <c r="FZ652" s="9"/>
      <c r="GA652" s="9"/>
      <c r="GB652" s="9"/>
      <c r="GC652" s="9"/>
      <c r="GD652" s="9"/>
      <c r="GE652" s="9"/>
      <c r="GF652" s="9"/>
      <c r="GG652" s="9"/>
      <c r="GH652" s="9"/>
      <c r="GI652" s="9"/>
      <c r="GJ652" s="9"/>
      <c r="GK652" s="9"/>
      <c r="GL652" s="9"/>
      <c r="GM652" s="9"/>
      <c r="GN652" s="9"/>
      <c r="GO652" s="9"/>
      <c r="GP652" s="9"/>
      <c r="GQ652" s="9"/>
    </row>
    <row r="653" spans="2:199" ht="15"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  <c r="ER653" s="9"/>
      <c r="ES653" s="9"/>
      <c r="ET653" s="9"/>
      <c r="EU653" s="9"/>
      <c r="EV653" s="9"/>
      <c r="EW653" s="9"/>
      <c r="EX653" s="9"/>
      <c r="EY653" s="9"/>
      <c r="EZ653" s="9"/>
      <c r="FA653" s="9"/>
      <c r="FB653" s="9"/>
      <c r="FC653" s="9"/>
      <c r="FD653" s="9"/>
      <c r="FE653" s="9"/>
      <c r="FF653" s="9"/>
      <c r="FG653" s="9"/>
      <c r="FH653" s="9"/>
      <c r="FI653" s="9"/>
      <c r="FJ653" s="9"/>
      <c r="FK653" s="9"/>
      <c r="FL653" s="9"/>
      <c r="FM653" s="9"/>
      <c r="FN653" s="9"/>
      <c r="FO653" s="9"/>
      <c r="FP653" s="9"/>
      <c r="FQ653" s="9"/>
      <c r="FR653" s="9"/>
      <c r="FS653" s="9"/>
      <c r="FT653" s="9"/>
      <c r="FU653" s="9"/>
      <c r="FV653" s="9"/>
      <c r="FW653" s="9"/>
      <c r="FX653" s="9"/>
      <c r="FY653" s="9"/>
      <c r="FZ653" s="9"/>
      <c r="GA653" s="9"/>
      <c r="GB653" s="9"/>
      <c r="GC653" s="9"/>
      <c r="GD653" s="9"/>
      <c r="GE653" s="9"/>
      <c r="GF653" s="9"/>
      <c r="GG653" s="9"/>
      <c r="GH653" s="9"/>
      <c r="GI653" s="9"/>
      <c r="GJ653" s="9"/>
      <c r="GK653" s="9"/>
      <c r="GL653" s="9"/>
      <c r="GM653" s="9"/>
      <c r="GN653" s="9"/>
      <c r="GO653" s="9"/>
      <c r="GP653" s="9"/>
      <c r="GQ653" s="9"/>
    </row>
    <row r="654" spans="2:199" ht="15"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  <c r="ES654" s="9"/>
      <c r="ET654" s="9"/>
      <c r="EU654" s="9"/>
      <c r="EV654" s="9"/>
      <c r="EW654" s="9"/>
      <c r="EX654" s="9"/>
      <c r="EY654" s="9"/>
      <c r="EZ654" s="9"/>
      <c r="FA654" s="9"/>
      <c r="FB654" s="9"/>
      <c r="FC654" s="9"/>
      <c r="FD654" s="9"/>
      <c r="FE654" s="9"/>
      <c r="FF654" s="9"/>
      <c r="FG654" s="9"/>
      <c r="FH654" s="9"/>
      <c r="FI654" s="9"/>
      <c r="FJ654" s="9"/>
      <c r="FK654" s="9"/>
      <c r="FL654" s="9"/>
      <c r="FM654" s="9"/>
      <c r="FN654" s="9"/>
      <c r="FO654" s="9"/>
      <c r="FP654" s="9"/>
      <c r="FQ654" s="9"/>
      <c r="FR654" s="9"/>
      <c r="FS654" s="9"/>
      <c r="FT654" s="9"/>
      <c r="FU654" s="9"/>
      <c r="FV654" s="9"/>
      <c r="FW654" s="9"/>
      <c r="FX654" s="9"/>
      <c r="FY654" s="9"/>
      <c r="FZ654" s="9"/>
      <c r="GA654" s="9"/>
      <c r="GB654" s="9"/>
      <c r="GC654" s="9"/>
      <c r="GD654" s="9"/>
      <c r="GE654" s="9"/>
      <c r="GF654" s="9"/>
      <c r="GG654" s="9"/>
      <c r="GH654" s="9"/>
      <c r="GI654" s="9"/>
      <c r="GJ654" s="9"/>
      <c r="GK654" s="9"/>
      <c r="GL654" s="9"/>
      <c r="GM654" s="9"/>
      <c r="GN654" s="9"/>
      <c r="GO654" s="9"/>
      <c r="GP654" s="9"/>
      <c r="GQ654" s="9"/>
    </row>
    <row r="655" spans="2:199" ht="15"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  <c r="ER655" s="9"/>
      <c r="ES655" s="9"/>
      <c r="ET655" s="9"/>
      <c r="EU655" s="9"/>
      <c r="EV655" s="9"/>
      <c r="EW655" s="9"/>
      <c r="EX655" s="9"/>
      <c r="EY655" s="9"/>
      <c r="EZ655" s="9"/>
      <c r="FA655" s="9"/>
      <c r="FB655" s="9"/>
      <c r="FC655" s="9"/>
      <c r="FD655" s="9"/>
      <c r="FE655" s="9"/>
      <c r="FF655" s="9"/>
      <c r="FG655" s="9"/>
      <c r="FH655" s="9"/>
      <c r="FI655" s="9"/>
      <c r="FJ655" s="9"/>
      <c r="FK655" s="9"/>
      <c r="FL655" s="9"/>
      <c r="FM655" s="9"/>
      <c r="FN655" s="9"/>
      <c r="FO655" s="9"/>
      <c r="FP655" s="9"/>
      <c r="FQ655" s="9"/>
      <c r="FR655" s="9"/>
      <c r="FS655" s="9"/>
      <c r="FT655" s="9"/>
      <c r="FU655" s="9"/>
      <c r="FV655" s="9"/>
      <c r="FW655" s="9"/>
      <c r="FX655" s="9"/>
      <c r="FY655" s="9"/>
      <c r="FZ655" s="9"/>
      <c r="GA655" s="9"/>
      <c r="GB655" s="9"/>
      <c r="GC655" s="9"/>
      <c r="GD655" s="9"/>
      <c r="GE655" s="9"/>
      <c r="GF655" s="9"/>
      <c r="GG655" s="9"/>
      <c r="GH655" s="9"/>
      <c r="GI655" s="9"/>
      <c r="GJ655" s="9"/>
      <c r="GK655" s="9"/>
      <c r="GL655" s="9"/>
      <c r="GM655" s="9"/>
      <c r="GN655" s="9"/>
      <c r="GO655" s="9"/>
      <c r="GP655" s="9"/>
      <c r="GQ655" s="9"/>
    </row>
    <row r="656" spans="2:199" ht="15"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  <c r="ER656" s="9"/>
      <c r="ES656" s="9"/>
      <c r="ET656" s="9"/>
      <c r="EU656" s="9"/>
      <c r="EV656" s="9"/>
      <c r="EW656" s="9"/>
      <c r="EX656" s="9"/>
      <c r="EY656" s="9"/>
      <c r="EZ656" s="9"/>
      <c r="FA656" s="9"/>
      <c r="FB656" s="9"/>
      <c r="FC656" s="9"/>
      <c r="FD656" s="9"/>
      <c r="FE656" s="9"/>
      <c r="FF656" s="9"/>
      <c r="FG656" s="9"/>
      <c r="FH656" s="9"/>
      <c r="FI656" s="9"/>
      <c r="FJ656" s="9"/>
      <c r="FK656" s="9"/>
      <c r="FL656" s="9"/>
      <c r="FM656" s="9"/>
      <c r="FN656" s="9"/>
      <c r="FO656" s="9"/>
      <c r="FP656" s="9"/>
      <c r="FQ656" s="9"/>
      <c r="FR656" s="9"/>
      <c r="FS656" s="9"/>
      <c r="FT656" s="9"/>
      <c r="FU656" s="9"/>
      <c r="FV656" s="9"/>
      <c r="FW656" s="9"/>
      <c r="FX656" s="9"/>
      <c r="FY656" s="9"/>
      <c r="FZ656" s="9"/>
      <c r="GA656" s="9"/>
      <c r="GB656" s="9"/>
      <c r="GC656" s="9"/>
      <c r="GD656" s="9"/>
      <c r="GE656" s="9"/>
      <c r="GF656" s="9"/>
      <c r="GG656" s="9"/>
      <c r="GH656" s="9"/>
      <c r="GI656" s="9"/>
      <c r="GJ656" s="9"/>
      <c r="GK656" s="9"/>
      <c r="GL656" s="9"/>
      <c r="GM656" s="9"/>
      <c r="GN656" s="9"/>
      <c r="GO656" s="9"/>
      <c r="GP656" s="9"/>
      <c r="GQ656" s="9"/>
    </row>
    <row r="657" spans="2:199" ht="15"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  <c r="ES657" s="9"/>
      <c r="ET657" s="9"/>
      <c r="EU657" s="9"/>
      <c r="EV657" s="9"/>
      <c r="EW657" s="9"/>
      <c r="EX657" s="9"/>
      <c r="EY657" s="9"/>
      <c r="EZ657" s="9"/>
      <c r="FA657" s="9"/>
      <c r="FB657" s="9"/>
      <c r="FC657" s="9"/>
      <c r="FD657" s="9"/>
      <c r="FE657" s="9"/>
      <c r="FF657" s="9"/>
      <c r="FG657" s="9"/>
      <c r="FH657" s="9"/>
      <c r="FI657" s="9"/>
      <c r="FJ657" s="9"/>
      <c r="FK657" s="9"/>
      <c r="FL657" s="9"/>
      <c r="FM657" s="9"/>
      <c r="FN657" s="9"/>
      <c r="FO657" s="9"/>
      <c r="FP657" s="9"/>
      <c r="FQ657" s="9"/>
      <c r="FR657" s="9"/>
      <c r="FS657" s="9"/>
      <c r="FT657" s="9"/>
      <c r="FU657" s="9"/>
      <c r="FV657" s="9"/>
      <c r="FW657" s="9"/>
      <c r="FX657" s="9"/>
      <c r="FY657" s="9"/>
      <c r="FZ657" s="9"/>
      <c r="GA657" s="9"/>
      <c r="GB657" s="9"/>
      <c r="GC657" s="9"/>
      <c r="GD657" s="9"/>
      <c r="GE657" s="9"/>
      <c r="GF657" s="9"/>
      <c r="GG657" s="9"/>
      <c r="GH657" s="9"/>
      <c r="GI657" s="9"/>
      <c r="GJ657" s="9"/>
      <c r="GK657" s="9"/>
      <c r="GL657" s="9"/>
      <c r="GM657" s="9"/>
      <c r="GN657" s="9"/>
      <c r="GO657" s="9"/>
      <c r="GP657" s="9"/>
      <c r="GQ657" s="9"/>
    </row>
    <row r="658" spans="2:199" ht="15"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  <c r="ES658" s="9"/>
      <c r="ET658" s="9"/>
      <c r="EU658" s="9"/>
      <c r="EV658" s="9"/>
      <c r="EW658" s="9"/>
      <c r="EX658" s="9"/>
      <c r="EY658" s="9"/>
      <c r="EZ658" s="9"/>
      <c r="FA658" s="9"/>
      <c r="FB658" s="9"/>
      <c r="FC658" s="9"/>
      <c r="FD658" s="9"/>
      <c r="FE658" s="9"/>
      <c r="FF658" s="9"/>
      <c r="FG658" s="9"/>
      <c r="FH658" s="9"/>
      <c r="FI658" s="9"/>
      <c r="FJ658" s="9"/>
      <c r="FK658" s="9"/>
      <c r="FL658" s="9"/>
      <c r="FM658" s="9"/>
      <c r="FN658" s="9"/>
      <c r="FO658" s="9"/>
      <c r="FP658" s="9"/>
      <c r="FQ658" s="9"/>
      <c r="FR658" s="9"/>
      <c r="FS658" s="9"/>
      <c r="FT658" s="9"/>
      <c r="FU658" s="9"/>
      <c r="FV658" s="9"/>
      <c r="FW658" s="9"/>
      <c r="FX658" s="9"/>
      <c r="FY658" s="9"/>
      <c r="FZ658" s="9"/>
      <c r="GA658" s="9"/>
      <c r="GB658" s="9"/>
      <c r="GC658" s="9"/>
      <c r="GD658" s="9"/>
      <c r="GE658" s="9"/>
      <c r="GF658" s="9"/>
      <c r="GG658" s="9"/>
      <c r="GH658" s="9"/>
      <c r="GI658" s="9"/>
      <c r="GJ658" s="9"/>
      <c r="GK658" s="9"/>
      <c r="GL658" s="9"/>
      <c r="GM658" s="9"/>
      <c r="GN658" s="9"/>
      <c r="GO658" s="9"/>
      <c r="GP658" s="9"/>
      <c r="GQ658" s="9"/>
    </row>
    <row r="659" spans="2:199" ht="15"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  <c r="ES659" s="9"/>
      <c r="ET659" s="9"/>
      <c r="EU659" s="9"/>
      <c r="EV659" s="9"/>
      <c r="EW659" s="9"/>
      <c r="EX659" s="9"/>
      <c r="EY659" s="9"/>
      <c r="EZ659" s="9"/>
      <c r="FA659" s="9"/>
      <c r="FB659" s="9"/>
      <c r="FC659" s="9"/>
      <c r="FD659" s="9"/>
      <c r="FE659" s="9"/>
      <c r="FF659" s="9"/>
      <c r="FG659" s="9"/>
      <c r="FH659" s="9"/>
      <c r="FI659" s="9"/>
      <c r="FJ659" s="9"/>
      <c r="FK659" s="9"/>
      <c r="FL659" s="9"/>
      <c r="FM659" s="9"/>
      <c r="FN659" s="9"/>
      <c r="FO659" s="9"/>
      <c r="FP659" s="9"/>
      <c r="FQ659" s="9"/>
      <c r="FR659" s="9"/>
      <c r="FS659" s="9"/>
      <c r="FT659" s="9"/>
      <c r="FU659" s="9"/>
      <c r="FV659" s="9"/>
      <c r="FW659" s="9"/>
      <c r="FX659" s="9"/>
      <c r="FY659" s="9"/>
      <c r="FZ659" s="9"/>
      <c r="GA659" s="9"/>
      <c r="GB659" s="9"/>
      <c r="GC659" s="9"/>
      <c r="GD659" s="9"/>
      <c r="GE659" s="9"/>
      <c r="GF659" s="9"/>
      <c r="GG659" s="9"/>
      <c r="GH659" s="9"/>
      <c r="GI659" s="9"/>
      <c r="GJ659" s="9"/>
      <c r="GK659" s="9"/>
      <c r="GL659" s="9"/>
      <c r="GM659" s="9"/>
      <c r="GN659" s="9"/>
      <c r="GO659" s="9"/>
      <c r="GP659" s="9"/>
      <c r="GQ659" s="9"/>
    </row>
    <row r="660" spans="2:199" ht="15"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  <c r="ER660" s="9"/>
      <c r="ES660" s="9"/>
      <c r="ET660" s="9"/>
      <c r="EU660" s="9"/>
      <c r="EV660" s="9"/>
      <c r="EW660" s="9"/>
      <c r="EX660" s="9"/>
      <c r="EY660" s="9"/>
      <c r="EZ660" s="9"/>
      <c r="FA660" s="9"/>
      <c r="FB660" s="9"/>
      <c r="FC660" s="9"/>
      <c r="FD660" s="9"/>
      <c r="FE660" s="9"/>
      <c r="FF660" s="9"/>
      <c r="FG660" s="9"/>
      <c r="FH660" s="9"/>
      <c r="FI660" s="9"/>
      <c r="FJ660" s="9"/>
      <c r="FK660" s="9"/>
      <c r="FL660" s="9"/>
      <c r="FM660" s="9"/>
      <c r="FN660" s="9"/>
      <c r="FO660" s="9"/>
      <c r="FP660" s="9"/>
      <c r="FQ660" s="9"/>
      <c r="FR660" s="9"/>
      <c r="FS660" s="9"/>
      <c r="FT660" s="9"/>
      <c r="FU660" s="9"/>
      <c r="FV660" s="9"/>
      <c r="FW660" s="9"/>
      <c r="FX660" s="9"/>
      <c r="FY660" s="9"/>
      <c r="FZ660" s="9"/>
      <c r="GA660" s="9"/>
      <c r="GB660" s="9"/>
      <c r="GC660" s="9"/>
      <c r="GD660" s="9"/>
      <c r="GE660" s="9"/>
      <c r="GF660" s="9"/>
      <c r="GG660" s="9"/>
      <c r="GH660" s="9"/>
      <c r="GI660" s="9"/>
      <c r="GJ660" s="9"/>
      <c r="GK660" s="9"/>
      <c r="GL660" s="9"/>
      <c r="GM660" s="9"/>
      <c r="GN660" s="9"/>
      <c r="GO660" s="9"/>
      <c r="GP660" s="9"/>
      <c r="GQ660" s="9"/>
    </row>
    <row r="661" spans="2:199" ht="15"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  <c r="ER661" s="9"/>
      <c r="ES661" s="9"/>
      <c r="ET661" s="9"/>
      <c r="EU661" s="9"/>
      <c r="EV661" s="9"/>
      <c r="EW661" s="9"/>
      <c r="EX661" s="9"/>
      <c r="EY661" s="9"/>
      <c r="EZ661" s="9"/>
      <c r="FA661" s="9"/>
      <c r="FB661" s="9"/>
      <c r="FC661" s="9"/>
      <c r="FD661" s="9"/>
      <c r="FE661" s="9"/>
      <c r="FF661" s="9"/>
      <c r="FG661" s="9"/>
      <c r="FH661" s="9"/>
      <c r="FI661" s="9"/>
      <c r="FJ661" s="9"/>
      <c r="FK661" s="9"/>
      <c r="FL661" s="9"/>
      <c r="FM661" s="9"/>
      <c r="FN661" s="9"/>
      <c r="FO661" s="9"/>
      <c r="FP661" s="9"/>
      <c r="FQ661" s="9"/>
      <c r="FR661" s="9"/>
      <c r="FS661" s="9"/>
      <c r="FT661" s="9"/>
      <c r="FU661" s="9"/>
      <c r="FV661" s="9"/>
      <c r="FW661" s="9"/>
      <c r="FX661" s="9"/>
      <c r="FY661" s="9"/>
      <c r="FZ661" s="9"/>
      <c r="GA661" s="9"/>
      <c r="GB661" s="9"/>
      <c r="GC661" s="9"/>
      <c r="GD661" s="9"/>
      <c r="GE661" s="9"/>
      <c r="GF661" s="9"/>
      <c r="GG661" s="9"/>
      <c r="GH661" s="9"/>
      <c r="GI661" s="9"/>
      <c r="GJ661" s="9"/>
      <c r="GK661" s="9"/>
      <c r="GL661" s="9"/>
      <c r="GM661" s="9"/>
      <c r="GN661" s="9"/>
      <c r="GO661" s="9"/>
      <c r="GP661" s="9"/>
      <c r="GQ661" s="9"/>
    </row>
    <row r="662" spans="2:199" ht="15"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  <c r="ES662" s="9"/>
      <c r="ET662" s="9"/>
      <c r="EU662" s="9"/>
      <c r="EV662" s="9"/>
      <c r="EW662" s="9"/>
      <c r="EX662" s="9"/>
      <c r="EY662" s="9"/>
      <c r="EZ662" s="9"/>
      <c r="FA662" s="9"/>
      <c r="FB662" s="9"/>
      <c r="FC662" s="9"/>
      <c r="FD662" s="9"/>
      <c r="FE662" s="9"/>
      <c r="FF662" s="9"/>
      <c r="FG662" s="9"/>
      <c r="FH662" s="9"/>
      <c r="FI662" s="9"/>
      <c r="FJ662" s="9"/>
      <c r="FK662" s="9"/>
      <c r="FL662" s="9"/>
      <c r="FM662" s="9"/>
      <c r="FN662" s="9"/>
      <c r="FO662" s="9"/>
      <c r="FP662" s="9"/>
      <c r="FQ662" s="9"/>
      <c r="FR662" s="9"/>
      <c r="FS662" s="9"/>
      <c r="FT662" s="9"/>
      <c r="FU662" s="9"/>
      <c r="FV662" s="9"/>
      <c r="FW662" s="9"/>
      <c r="FX662" s="9"/>
      <c r="FY662" s="9"/>
      <c r="FZ662" s="9"/>
      <c r="GA662" s="9"/>
      <c r="GB662" s="9"/>
      <c r="GC662" s="9"/>
      <c r="GD662" s="9"/>
      <c r="GE662" s="9"/>
      <c r="GF662" s="9"/>
      <c r="GG662" s="9"/>
      <c r="GH662" s="9"/>
      <c r="GI662" s="9"/>
      <c r="GJ662" s="9"/>
      <c r="GK662" s="9"/>
      <c r="GL662" s="9"/>
      <c r="GM662" s="9"/>
      <c r="GN662" s="9"/>
      <c r="GO662" s="9"/>
      <c r="GP662" s="9"/>
      <c r="GQ662" s="9"/>
    </row>
    <row r="663" spans="2:199" ht="15"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  <c r="FB663" s="9"/>
      <c r="FC663" s="9"/>
      <c r="FD663" s="9"/>
      <c r="FE663" s="9"/>
      <c r="FF663" s="9"/>
      <c r="FG663" s="9"/>
      <c r="FH663" s="9"/>
      <c r="FI663" s="9"/>
      <c r="FJ663" s="9"/>
      <c r="FK663" s="9"/>
      <c r="FL663" s="9"/>
      <c r="FM663" s="9"/>
      <c r="FN663" s="9"/>
      <c r="FO663" s="9"/>
      <c r="FP663" s="9"/>
      <c r="FQ663" s="9"/>
      <c r="FR663" s="9"/>
      <c r="FS663" s="9"/>
      <c r="FT663" s="9"/>
      <c r="FU663" s="9"/>
      <c r="FV663" s="9"/>
      <c r="FW663" s="9"/>
      <c r="FX663" s="9"/>
      <c r="FY663" s="9"/>
      <c r="FZ663" s="9"/>
      <c r="GA663" s="9"/>
      <c r="GB663" s="9"/>
      <c r="GC663" s="9"/>
      <c r="GD663" s="9"/>
      <c r="GE663" s="9"/>
      <c r="GF663" s="9"/>
      <c r="GG663" s="9"/>
      <c r="GH663" s="9"/>
      <c r="GI663" s="9"/>
      <c r="GJ663" s="9"/>
      <c r="GK663" s="9"/>
      <c r="GL663" s="9"/>
      <c r="GM663" s="9"/>
      <c r="GN663" s="9"/>
      <c r="GO663" s="9"/>
      <c r="GP663" s="9"/>
      <c r="GQ663" s="9"/>
    </row>
    <row r="664" spans="2:199" ht="15"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  <c r="ER664" s="9"/>
      <c r="ES664" s="9"/>
      <c r="ET664" s="9"/>
      <c r="EU664" s="9"/>
      <c r="EV664" s="9"/>
      <c r="EW664" s="9"/>
      <c r="EX664" s="9"/>
      <c r="EY664" s="9"/>
      <c r="EZ664" s="9"/>
      <c r="FA664" s="9"/>
      <c r="FB664" s="9"/>
      <c r="FC664" s="9"/>
      <c r="FD664" s="9"/>
      <c r="FE664" s="9"/>
      <c r="FF664" s="9"/>
      <c r="FG664" s="9"/>
      <c r="FH664" s="9"/>
      <c r="FI664" s="9"/>
      <c r="FJ664" s="9"/>
      <c r="FK664" s="9"/>
      <c r="FL664" s="9"/>
      <c r="FM664" s="9"/>
      <c r="FN664" s="9"/>
      <c r="FO664" s="9"/>
      <c r="FP664" s="9"/>
      <c r="FQ664" s="9"/>
      <c r="FR664" s="9"/>
      <c r="FS664" s="9"/>
      <c r="FT664" s="9"/>
      <c r="FU664" s="9"/>
      <c r="FV664" s="9"/>
      <c r="FW664" s="9"/>
      <c r="FX664" s="9"/>
      <c r="FY664" s="9"/>
      <c r="FZ664" s="9"/>
      <c r="GA664" s="9"/>
      <c r="GB664" s="9"/>
      <c r="GC664" s="9"/>
      <c r="GD664" s="9"/>
      <c r="GE664" s="9"/>
      <c r="GF664" s="9"/>
      <c r="GG664" s="9"/>
      <c r="GH664" s="9"/>
      <c r="GI664" s="9"/>
      <c r="GJ664" s="9"/>
      <c r="GK664" s="9"/>
      <c r="GL664" s="9"/>
      <c r="GM664" s="9"/>
      <c r="GN664" s="9"/>
      <c r="GO664" s="9"/>
      <c r="GP664" s="9"/>
      <c r="GQ664" s="9"/>
    </row>
    <row r="665" spans="2:199" ht="15"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  <c r="ER665" s="9"/>
      <c r="ES665" s="9"/>
      <c r="ET665" s="9"/>
      <c r="EU665" s="9"/>
      <c r="EV665" s="9"/>
      <c r="EW665" s="9"/>
      <c r="EX665" s="9"/>
      <c r="EY665" s="9"/>
      <c r="EZ665" s="9"/>
      <c r="FA665" s="9"/>
      <c r="FB665" s="9"/>
      <c r="FC665" s="9"/>
      <c r="FD665" s="9"/>
      <c r="FE665" s="9"/>
      <c r="FF665" s="9"/>
      <c r="FG665" s="9"/>
      <c r="FH665" s="9"/>
      <c r="FI665" s="9"/>
      <c r="FJ665" s="9"/>
      <c r="FK665" s="9"/>
      <c r="FL665" s="9"/>
      <c r="FM665" s="9"/>
      <c r="FN665" s="9"/>
      <c r="FO665" s="9"/>
      <c r="FP665" s="9"/>
      <c r="FQ665" s="9"/>
      <c r="FR665" s="9"/>
      <c r="FS665" s="9"/>
      <c r="FT665" s="9"/>
      <c r="FU665" s="9"/>
      <c r="FV665" s="9"/>
      <c r="FW665" s="9"/>
      <c r="FX665" s="9"/>
      <c r="FY665" s="9"/>
      <c r="FZ665" s="9"/>
      <c r="GA665" s="9"/>
      <c r="GB665" s="9"/>
      <c r="GC665" s="9"/>
      <c r="GD665" s="9"/>
      <c r="GE665" s="9"/>
      <c r="GF665" s="9"/>
      <c r="GG665" s="9"/>
      <c r="GH665" s="9"/>
      <c r="GI665" s="9"/>
      <c r="GJ665" s="9"/>
      <c r="GK665" s="9"/>
      <c r="GL665" s="9"/>
      <c r="GM665" s="9"/>
      <c r="GN665" s="9"/>
      <c r="GO665" s="9"/>
      <c r="GP665" s="9"/>
      <c r="GQ665" s="9"/>
    </row>
    <row r="666" spans="2:199" ht="15"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  <c r="ES666" s="9"/>
      <c r="ET666" s="9"/>
      <c r="EU666" s="9"/>
      <c r="EV666" s="9"/>
      <c r="EW666" s="9"/>
      <c r="EX666" s="9"/>
      <c r="EY666" s="9"/>
      <c r="EZ666" s="9"/>
      <c r="FA666" s="9"/>
      <c r="FB666" s="9"/>
      <c r="FC666" s="9"/>
      <c r="FD666" s="9"/>
      <c r="FE666" s="9"/>
      <c r="FF666" s="9"/>
      <c r="FG666" s="9"/>
      <c r="FH666" s="9"/>
      <c r="FI666" s="9"/>
      <c r="FJ666" s="9"/>
      <c r="FK666" s="9"/>
      <c r="FL666" s="9"/>
      <c r="FM666" s="9"/>
      <c r="FN666" s="9"/>
      <c r="FO666" s="9"/>
      <c r="FP666" s="9"/>
      <c r="FQ666" s="9"/>
      <c r="FR666" s="9"/>
      <c r="FS666" s="9"/>
      <c r="FT666" s="9"/>
      <c r="FU666" s="9"/>
      <c r="FV666" s="9"/>
      <c r="FW666" s="9"/>
      <c r="FX666" s="9"/>
      <c r="FY666" s="9"/>
      <c r="FZ666" s="9"/>
      <c r="GA666" s="9"/>
      <c r="GB666" s="9"/>
      <c r="GC666" s="9"/>
      <c r="GD666" s="9"/>
      <c r="GE666" s="9"/>
      <c r="GF666" s="9"/>
      <c r="GG666" s="9"/>
      <c r="GH666" s="9"/>
      <c r="GI666" s="9"/>
      <c r="GJ666" s="9"/>
      <c r="GK666" s="9"/>
      <c r="GL666" s="9"/>
      <c r="GM666" s="9"/>
      <c r="GN666" s="9"/>
      <c r="GO666" s="9"/>
      <c r="GP666" s="9"/>
      <c r="GQ666" s="9"/>
    </row>
    <row r="667" spans="2:199" ht="15"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  <c r="ES667" s="9"/>
      <c r="ET667" s="9"/>
      <c r="EU667" s="9"/>
      <c r="EV667" s="9"/>
      <c r="EW667" s="9"/>
      <c r="EX667" s="9"/>
      <c r="EY667" s="9"/>
      <c r="EZ667" s="9"/>
      <c r="FA667" s="9"/>
      <c r="FB667" s="9"/>
      <c r="FC667" s="9"/>
      <c r="FD667" s="9"/>
      <c r="FE667" s="9"/>
      <c r="FF667" s="9"/>
      <c r="FG667" s="9"/>
      <c r="FH667" s="9"/>
      <c r="FI667" s="9"/>
      <c r="FJ667" s="9"/>
      <c r="FK667" s="9"/>
      <c r="FL667" s="9"/>
      <c r="FM667" s="9"/>
      <c r="FN667" s="9"/>
      <c r="FO667" s="9"/>
      <c r="FP667" s="9"/>
      <c r="FQ667" s="9"/>
      <c r="FR667" s="9"/>
      <c r="FS667" s="9"/>
      <c r="FT667" s="9"/>
      <c r="FU667" s="9"/>
      <c r="FV667" s="9"/>
      <c r="FW667" s="9"/>
      <c r="FX667" s="9"/>
      <c r="FY667" s="9"/>
      <c r="FZ667" s="9"/>
      <c r="GA667" s="9"/>
      <c r="GB667" s="9"/>
      <c r="GC667" s="9"/>
      <c r="GD667" s="9"/>
      <c r="GE667" s="9"/>
      <c r="GF667" s="9"/>
      <c r="GG667" s="9"/>
      <c r="GH667" s="9"/>
      <c r="GI667" s="9"/>
      <c r="GJ667" s="9"/>
      <c r="GK667" s="9"/>
      <c r="GL667" s="9"/>
      <c r="GM667" s="9"/>
      <c r="GN667" s="9"/>
      <c r="GO667" s="9"/>
      <c r="GP667" s="9"/>
      <c r="GQ667" s="9"/>
    </row>
    <row r="668" spans="2:199" ht="15"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  <c r="ER668" s="9"/>
      <c r="ES668" s="9"/>
      <c r="ET668" s="9"/>
      <c r="EU668" s="9"/>
      <c r="EV668" s="9"/>
      <c r="EW668" s="9"/>
      <c r="EX668" s="9"/>
      <c r="EY668" s="9"/>
      <c r="EZ668" s="9"/>
      <c r="FA668" s="9"/>
      <c r="FB668" s="9"/>
      <c r="FC668" s="9"/>
      <c r="FD668" s="9"/>
      <c r="FE668" s="9"/>
      <c r="FF668" s="9"/>
      <c r="FG668" s="9"/>
      <c r="FH668" s="9"/>
      <c r="FI668" s="9"/>
      <c r="FJ668" s="9"/>
      <c r="FK668" s="9"/>
      <c r="FL668" s="9"/>
      <c r="FM668" s="9"/>
      <c r="FN668" s="9"/>
      <c r="FO668" s="9"/>
      <c r="FP668" s="9"/>
      <c r="FQ668" s="9"/>
      <c r="FR668" s="9"/>
      <c r="FS668" s="9"/>
      <c r="FT668" s="9"/>
      <c r="FU668" s="9"/>
      <c r="FV668" s="9"/>
      <c r="FW668" s="9"/>
      <c r="FX668" s="9"/>
      <c r="FY668" s="9"/>
      <c r="FZ668" s="9"/>
      <c r="GA668" s="9"/>
      <c r="GB668" s="9"/>
      <c r="GC668" s="9"/>
      <c r="GD668" s="9"/>
      <c r="GE668" s="9"/>
      <c r="GF668" s="9"/>
      <c r="GG668" s="9"/>
      <c r="GH668" s="9"/>
      <c r="GI668" s="9"/>
      <c r="GJ668" s="9"/>
      <c r="GK668" s="9"/>
      <c r="GL668" s="9"/>
      <c r="GM668" s="9"/>
      <c r="GN668" s="9"/>
      <c r="GO668" s="9"/>
      <c r="GP668" s="9"/>
      <c r="GQ668" s="9"/>
    </row>
    <row r="669" spans="2:199" ht="15"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  <c r="ES669" s="9"/>
      <c r="ET669" s="9"/>
      <c r="EU669" s="9"/>
      <c r="EV669" s="9"/>
      <c r="EW669" s="9"/>
      <c r="EX669" s="9"/>
      <c r="EY669" s="9"/>
      <c r="EZ669" s="9"/>
      <c r="FA669" s="9"/>
      <c r="FB669" s="9"/>
      <c r="FC669" s="9"/>
      <c r="FD669" s="9"/>
      <c r="FE669" s="9"/>
      <c r="FF669" s="9"/>
      <c r="FG669" s="9"/>
      <c r="FH669" s="9"/>
      <c r="FI669" s="9"/>
      <c r="FJ669" s="9"/>
      <c r="FK669" s="9"/>
      <c r="FL669" s="9"/>
      <c r="FM669" s="9"/>
      <c r="FN669" s="9"/>
      <c r="FO669" s="9"/>
      <c r="FP669" s="9"/>
      <c r="FQ669" s="9"/>
      <c r="FR669" s="9"/>
      <c r="FS669" s="9"/>
      <c r="FT669" s="9"/>
      <c r="FU669" s="9"/>
      <c r="FV669" s="9"/>
      <c r="FW669" s="9"/>
      <c r="FX669" s="9"/>
      <c r="FY669" s="9"/>
      <c r="FZ669" s="9"/>
      <c r="GA669" s="9"/>
      <c r="GB669" s="9"/>
      <c r="GC669" s="9"/>
      <c r="GD669" s="9"/>
      <c r="GE669" s="9"/>
      <c r="GF669" s="9"/>
      <c r="GG669" s="9"/>
      <c r="GH669" s="9"/>
      <c r="GI669" s="9"/>
      <c r="GJ669" s="9"/>
      <c r="GK669" s="9"/>
      <c r="GL669" s="9"/>
      <c r="GM669" s="9"/>
      <c r="GN669" s="9"/>
      <c r="GO669" s="9"/>
      <c r="GP669" s="9"/>
      <c r="GQ669" s="9"/>
    </row>
    <row r="670" spans="2:199" ht="15"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  <c r="ER670" s="9"/>
      <c r="ES670" s="9"/>
      <c r="ET670" s="9"/>
      <c r="EU670" s="9"/>
      <c r="EV670" s="9"/>
      <c r="EW670" s="9"/>
      <c r="EX670" s="9"/>
      <c r="EY670" s="9"/>
      <c r="EZ670" s="9"/>
      <c r="FA670" s="9"/>
      <c r="FB670" s="9"/>
      <c r="FC670" s="9"/>
      <c r="FD670" s="9"/>
      <c r="FE670" s="9"/>
      <c r="FF670" s="9"/>
      <c r="FG670" s="9"/>
      <c r="FH670" s="9"/>
      <c r="FI670" s="9"/>
      <c r="FJ670" s="9"/>
      <c r="FK670" s="9"/>
      <c r="FL670" s="9"/>
      <c r="FM670" s="9"/>
      <c r="FN670" s="9"/>
      <c r="FO670" s="9"/>
      <c r="FP670" s="9"/>
      <c r="FQ670" s="9"/>
      <c r="FR670" s="9"/>
      <c r="FS670" s="9"/>
      <c r="FT670" s="9"/>
      <c r="FU670" s="9"/>
      <c r="FV670" s="9"/>
      <c r="FW670" s="9"/>
      <c r="FX670" s="9"/>
      <c r="FY670" s="9"/>
      <c r="FZ670" s="9"/>
      <c r="GA670" s="9"/>
      <c r="GB670" s="9"/>
      <c r="GC670" s="9"/>
      <c r="GD670" s="9"/>
      <c r="GE670" s="9"/>
      <c r="GF670" s="9"/>
      <c r="GG670" s="9"/>
      <c r="GH670" s="9"/>
      <c r="GI670" s="9"/>
      <c r="GJ670" s="9"/>
      <c r="GK670" s="9"/>
      <c r="GL670" s="9"/>
      <c r="GM670" s="9"/>
      <c r="GN670" s="9"/>
      <c r="GO670" s="9"/>
      <c r="GP670" s="9"/>
      <c r="GQ670" s="9"/>
    </row>
    <row r="671" spans="2:199" ht="15"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  <c r="ES671" s="9"/>
      <c r="ET671" s="9"/>
      <c r="EU671" s="9"/>
      <c r="EV671" s="9"/>
      <c r="EW671" s="9"/>
      <c r="EX671" s="9"/>
      <c r="EY671" s="9"/>
      <c r="EZ671" s="9"/>
      <c r="FA671" s="9"/>
      <c r="FB671" s="9"/>
      <c r="FC671" s="9"/>
      <c r="FD671" s="9"/>
      <c r="FE671" s="9"/>
      <c r="FF671" s="9"/>
      <c r="FG671" s="9"/>
      <c r="FH671" s="9"/>
      <c r="FI671" s="9"/>
      <c r="FJ671" s="9"/>
      <c r="FK671" s="9"/>
      <c r="FL671" s="9"/>
      <c r="FM671" s="9"/>
      <c r="FN671" s="9"/>
      <c r="FO671" s="9"/>
      <c r="FP671" s="9"/>
      <c r="FQ671" s="9"/>
      <c r="FR671" s="9"/>
      <c r="FS671" s="9"/>
      <c r="FT671" s="9"/>
      <c r="FU671" s="9"/>
      <c r="FV671" s="9"/>
      <c r="FW671" s="9"/>
      <c r="FX671" s="9"/>
      <c r="FY671" s="9"/>
      <c r="FZ671" s="9"/>
      <c r="GA671" s="9"/>
      <c r="GB671" s="9"/>
      <c r="GC671" s="9"/>
      <c r="GD671" s="9"/>
      <c r="GE671" s="9"/>
      <c r="GF671" s="9"/>
      <c r="GG671" s="9"/>
      <c r="GH671" s="9"/>
      <c r="GI671" s="9"/>
      <c r="GJ671" s="9"/>
      <c r="GK671" s="9"/>
      <c r="GL671" s="9"/>
      <c r="GM671" s="9"/>
      <c r="GN671" s="9"/>
      <c r="GO671" s="9"/>
      <c r="GP671" s="9"/>
      <c r="GQ671" s="9"/>
    </row>
    <row r="672" spans="2:199" ht="15"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  <c r="ER672" s="9"/>
      <c r="ES672" s="9"/>
      <c r="ET672" s="9"/>
      <c r="EU672" s="9"/>
      <c r="EV672" s="9"/>
      <c r="EW672" s="9"/>
      <c r="EX672" s="9"/>
      <c r="EY672" s="9"/>
      <c r="EZ672" s="9"/>
      <c r="FA672" s="9"/>
      <c r="FB672" s="9"/>
      <c r="FC672" s="9"/>
      <c r="FD672" s="9"/>
      <c r="FE672" s="9"/>
      <c r="FF672" s="9"/>
      <c r="FG672" s="9"/>
      <c r="FH672" s="9"/>
      <c r="FI672" s="9"/>
      <c r="FJ672" s="9"/>
      <c r="FK672" s="9"/>
      <c r="FL672" s="9"/>
      <c r="FM672" s="9"/>
      <c r="FN672" s="9"/>
      <c r="FO672" s="9"/>
      <c r="FP672" s="9"/>
      <c r="FQ672" s="9"/>
      <c r="FR672" s="9"/>
      <c r="FS672" s="9"/>
      <c r="FT672" s="9"/>
      <c r="FU672" s="9"/>
      <c r="FV672" s="9"/>
      <c r="FW672" s="9"/>
      <c r="FX672" s="9"/>
      <c r="FY672" s="9"/>
      <c r="FZ672" s="9"/>
      <c r="GA672" s="9"/>
      <c r="GB672" s="9"/>
      <c r="GC672" s="9"/>
      <c r="GD672" s="9"/>
      <c r="GE672" s="9"/>
      <c r="GF672" s="9"/>
      <c r="GG672" s="9"/>
      <c r="GH672" s="9"/>
      <c r="GI672" s="9"/>
      <c r="GJ672" s="9"/>
      <c r="GK672" s="9"/>
      <c r="GL672" s="9"/>
      <c r="GM672" s="9"/>
      <c r="GN672" s="9"/>
      <c r="GO672" s="9"/>
      <c r="GP672" s="9"/>
      <c r="GQ672" s="9"/>
    </row>
    <row r="673" spans="2:199" ht="15"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  <c r="ES673" s="9"/>
      <c r="ET673" s="9"/>
      <c r="EU673" s="9"/>
      <c r="EV673" s="9"/>
      <c r="EW673" s="9"/>
      <c r="EX673" s="9"/>
      <c r="EY673" s="9"/>
      <c r="EZ673" s="9"/>
      <c r="FA673" s="9"/>
      <c r="FB673" s="9"/>
      <c r="FC673" s="9"/>
      <c r="FD673" s="9"/>
      <c r="FE673" s="9"/>
      <c r="FF673" s="9"/>
      <c r="FG673" s="9"/>
      <c r="FH673" s="9"/>
      <c r="FI673" s="9"/>
      <c r="FJ673" s="9"/>
      <c r="FK673" s="9"/>
      <c r="FL673" s="9"/>
      <c r="FM673" s="9"/>
      <c r="FN673" s="9"/>
      <c r="FO673" s="9"/>
      <c r="FP673" s="9"/>
      <c r="FQ673" s="9"/>
      <c r="FR673" s="9"/>
      <c r="FS673" s="9"/>
      <c r="FT673" s="9"/>
      <c r="FU673" s="9"/>
      <c r="FV673" s="9"/>
      <c r="FW673" s="9"/>
      <c r="FX673" s="9"/>
      <c r="FY673" s="9"/>
      <c r="FZ673" s="9"/>
      <c r="GA673" s="9"/>
      <c r="GB673" s="9"/>
      <c r="GC673" s="9"/>
      <c r="GD673" s="9"/>
      <c r="GE673" s="9"/>
      <c r="GF673" s="9"/>
      <c r="GG673" s="9"/>
      <c r="GH673" s="9"/>
      <c r="GI673" s="9"/>
      <c r="GJ673" s="9"/>
      <c r="GK673" s="9"/>
      <c r="GL673" s="9"/>
      <c r="GM673" s="9"/>
      <c r="GN673" s="9"/>
      <c r="GO673" s="9"/>
      <c r="GP673" s="9"/>
      <c r="GQ673" s="9"/>
    </row>
    <row r="674" spans="2:199" ht="15"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  <c r="ES674" s="9"/>
      <c r="ET674" s="9"/>
      <c r="EU674" s="9"/>
      <c r="EV674" s="9"/>
      <c r="EW674" s="9"/>
      <c r="EX674" s="9"/>
      <c r="EY674" s="9"/>
      <c r="EZ674" s="9"/>
      <c r="FA674" s="9"/>
      <c r="FB674" s="9"/>
      <c r="FC674" s="9"/>
      <c r="FD674" s="9"/>
      <c r="FE674" s="9"/>
      <c r="FF674" s="9"/>
      <c r="FG674" s="9"/>
      <c r="FH674" s="9"/>
      <c r="FI674" s="9"/>
      <c r="FJ674" s="9"/>
      <c r="FK674" s="9"/>
      <c r="FL674" s="9"/>
      <c r="FM674" s="9"/>
      <c r="FN674" s="9"/>
      <c r="FO674" s="9"/>
      <c r="FP674" s="9"/>
      <c r="FQ674" s="9"/>
      <c r="FR674" s="9"/>
      <c r="FS674" s="9"/>
      <c r="FT674" s="9"/>
      <c r="FU674" s="9"/>
      <c r="FV674" s="9"/>
      <c r="FW674" s="9"/>
      <c r="FX674" s="9"/>
      <c r="FY674" s="9"/>
      <c r="FZ674" s="9"/>
      <c r="GA674" s="9"/>
      <c r="GB674" s="9"/>
      <c r="GC674" s="9"/>
      <c r="GD674" s="9"/>
      <c r="GE674" s="9"/>
      <c r="GF674" s="9"/>
      <c r="GG674" s="9"/>
      <c r="GH674" s="9"/>
      <c r="GI674" s="9"/>
      <c r="GJ674" s="9"/>
      <c r="GK674" s="9"/>
      <c r="GL674" s="9"/>
      <c r="GM674" s="9"/>
      <c r="GN674" s="9"/>
      <c r="GO674" s="9"/>
      <c r="GP674" s="9"/>
      <c r="GQ674" s="9"/>
    </row>
    <row r="675" spans="2:199" ht="15"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  <c r="ES675" s="9"/>
      <c r="ET675" s="9"/>
      <c r="EU675" s="9"/>
      <c r="EV675" s="9"/>
      <c r="EW675" s="9"/>
      <c r="EX675" s="9"/>
      <c r="EY675" s="9"/>
      <c r="EZ675" s="9"/>
      <c r="FA675" s="9"/>
      <c r="FB675" s="9"/>
      <c r="FC675" s="9"/>
      <c r="FD675" s="9"/>
      <c r="FE675" s="9"/>
      <c r="FF675" s="9"/>
      <c r="FG675" s="9"/>
      <c r="FH675" s="9"/>
      <c r="FI675" s="9"/>
      <c r="FJ675" s="9"/>
      <c r="FK675" s="9"/>
      <c r="FL675" s="9"/>
      <c r="FM675" s="9"/>
      <c r="FN675" s="9"/>
      <c r="FO675" s="9"/>
      <c r="FP675" s="9"/>
      <c r="FQ675" s="9"/>
      <c r="FR675" s="9"/>
      <c r="FS675" s="9"/>
      <c r="FT675" s="9"/>
      <c r="FU675" s="9"/>
      <c r="FV675" s="9"/>
      <c r="FW675" s="9"/>
      <c r="FX675" s="9"/>
      <c r="FY675" s="9"/>
      <c r="FZ675" s="9"/>
      <c r="GA675" s="9"/>
      <c r="GB675" s="9"/>
      <c r="GC675" s="9"/>
      <c r="GD675" s="9"/>
      <c r="GE675" s="9"/>
      <c r="GF675" s="9"/>
      <c r="GG675" s="9"/>
      <c r="GH675" s="9"/>
      <c r="GI675" s="9"/>
      <c r="GJ675" s="9"/>
      <c r="GK675" s="9"/>
      <c r="GL675" s="9"/>
      <c r="GM675" s="9"/>
      <c r="GN675" s="9"/>
      <c r="GO675" s="9"/>
      <c r="GP675" s="9"/>
      <c r="GQ675" s="9"/>
    </row>
    <row r="676" spans="2:199" ht="15"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  <c r="ER676" s="9"/>
      <c r="ES676" s="9"/>
      <c r="ET676" s="9"/>
      <c r="EU676" s="9"/>
      <c r="EV676" s="9"/>
      <c r="EW676" s="9"/>
      <c r="EX676" s="9"/>
      <c r="EY676" s="9"/>
      <c r="EZ676" s="9"/>
      <c r="FA676" s="9"/>
      <c r="FB676" s="9"/>
      <c r="FC676" s="9"/>
      <c r="FD676" s="9"/>
      <c r="FE676" s="9"/>
      <c r="FF676" s="9"/>
      <c r="FG676" s="9"/>
      <c r="FH676" s="9"/>
      <c r="FI676" s="9"/>
      <c r="FJ676" s="9"/>
      <c r="FK676" s="9"/>
      <c r="FL676" s="9"/>
      <c r="FM676" s="9"/>
      <c r="FN676" s="9"/>
      <c r="FO676" s="9"/>
      <c r="FP676" s="9"/>
      <c r="FQ676" s="9"/>
      <c r="FR676" s="9"/>
      <c r="FS676" s="9"/>
      <c r="FT676" s="9"/>
      <c r="FU676" s="9"/>
      <c r="FV676" s="9"/>
      <c r="FW676" s="9"/>
      <c r="FX676" s="9"/>
      <c r="FY676" s="9"/>
      <c r="FZ676" s="9"/>
      <c r="GA676" s="9"/>
      <c r="GB676" s="9"/>
      <c r="GC676" s="9"/>
      <c r="GD676" s="9"/>
      <c r="GE676" s="9"/>
      <c r="GF676" s="9"/>
      <c r="GG676" s="9"/>
      <c r="GH676" s="9"/>
      <c r="GI676" s="9"/>
      <c r="GJ676" s="9"/>
      <c r="GK676" s="9"/>
      <c r="GL676" s="9"/>
      <c r="GM676" s="9"/>
      <c r="GN676" s="9"/>
      <c r="GO676" s="9"/>
      <c r="GP676" s="9"/>
      <c r="GQ676" s="9"/>
    </row>
    <row r="677" spans="2:199" ht="15"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  <c r="ES677" s="9"/>
      <c r="ET677" s="9"/>
      <c r="EU677" s="9"/>
      <c r="EV677" s="9"/>
      <c r="EW677" s="9"/>
      <c r="EX677" s="9"/>
      <c r="EY677" s="9"/>
      <c r="EZ677" s="9"/>
      <c r="FA677" s="9"/>
      <c r="FB677" s="9"/>
      <c r="FC677" s="9"/>
      <c r="FD677" s="9"/>
      <c r="FE677" s="9"/>
      <c r="FF677" s="9"/>
      <c r="FG677" s="9"/>
      <c r="FH677" s="9"/>
      <c r="FI677" s="9"/>
      <c r="FJ677" s="9"/>
      <c r="FK677" s="9"/>
      <c r="FL677" s="9"/>
      <c r="FM677" s="9"/>
      <c r="FN677" s="9"/>
      <c r="FO677" s="9"/>
      <c r="FP677" s="9"/>
      <c r="FQ677" s="9"/>
      <c r="FR677" s="9"/>
      <c r="FS677" s="9"/>
      <c r="FT677" s="9"/>
      <c r="FU677" s="9"/>
      <c r="FV677" s="9"/>
      <c r="FW677" s="9"/>
      <c r="FX677" s="9"/>
      <c r="FY677" s="9"/>
      <c r="FZ677" s="9"/>
      <c r="GA677" s="9"/>
      <c r="GB677" s="9"/>
      <c r="GC677" s="9"/>
      <c r="GD677" s="9"/>
      <c r="GE677" s="9"/>
      <c r="GF677" s="9"/>
      <c r="GG677" s="9"/>
      <c r="GH677" s="9"/>
      <c r="GI677" s="9"/>
      <c r="GJ677" s="9"/>
      <c r="GK677" s="9"/>
      <c r="GL677" s="9"/>
      <c r="GM677" s="9"/>
      <c r="GN677" s="9"/>
      <c r="GO677" s="9"/>
      <c r="GP677" s="9"/>
      <c r="GQ677" s="9"/>
    </row>
    <row r="678" spans="2:199" ht="15"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  <c r="ES678" s="9"/>
      <c r="ET678" s="9"/>
      <c r="EU678" s="9"/>
      <c r="EV678" s="9"/>
      <c r="EW678" s="9"/>
      <c r="EX678" s="9"/>
      <c r="EY678" s="9"/>
      <c r="EZ678" s="9"/>
      <c r="FA678" s="9"/>
      <c r="FB678" s="9"/>
      <c r="FC678" s="9"/>
      <c r="FD678" s="9"/>
      <c r="FE678" s="9"/>
      <c r="FF678" s="9"/>
      <c r="FG678" s="9"/>
      <c r="FH678" s="9"/>
      <c r="FI678" s="9"/>
      <c r="FJ678" s="9"/>
      <c r="FK678" s="9"/>
      <c r="FL678" s="9"/>
      <c r="FM678" s="9"/>
      <c r="FN678" s="9"/>
      <c r="FO678" s="9"/>
      <c r="FP678" s="9"/>
      <c r="FQ678" s="9"/>
      <c r="FR678" s="9"/>
      <c r="FS678" s="9"/>
      <c r="FT678" s="9"/>
      <c r="FU678" s="9"/>
      <c r="FV678" s="9"/>
      <c r="FW678" s="9"/>
      <c r="FX678" s="9"/>
      <c r="FY678" s="9"/>
      <c r="FZ678" s="9"/>
      <c r="GA678" s="9"/>
      <c r="GB678" s="9"/>
      <c r="GC678" s="9"/>
      <c r="GD678" s="9"/>
      <c r="GE678" s="9"/>
      <c r="GF678" s="9"/>
      <c r="GG678" s="9"/>
      <c r="GH678" s="9"/>
      <c r="GI678" s="9"/>
      <c r="GJ678" s="9"/>
      <c r="GK678" s="9"/>
      <c r="GL678" s="9"/>
      <c r="GM678" s="9"/>
      <c r="GN678" s="9"/>
      <c r="GO678" s="9"/>
      <c r="GP678" s="9"/>
      <c r="GQ678" s="9"/>
    </row>
    <row r="679" spans="2:199" ht="15"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  <c r="ER679" s="9"/>
      <c r="ES679" s="9"/>
      <c r="ET679" s="9"/>
      <c r="EU679" s="9"/>
      <c r="EV679" s="9"/>
      <c r="EW679" s="9"/>
      <c r="EX679" s="9"/>
      <c r="EY679" s="9"/>
      <c r="EZ679" s="9"/>
      <c r="FA679" s="9"/>
      <c r="FB679" s="9"/>
      <c r="FC679" s="9"/>
      <c r="FD679" s="9"/>
      <c r="FE679" s="9"/>
      <c r="FF679" s="9"/>
      <c r="FG679" s="9"/>
      <c r="FH679" s="9"/>
      <c r="FI679" s="9"/>
      <c r="FJ679" s="9"/>
      <c r="FK679" s="9"/>
      <c r="FL679" s="9"/>
      <c r="FM679" s="9"/>
      <c r="FN679" s="9"/>
      <c r="FO679" s="9"/>
      <c r="FP679" s="9"/>
      <c r="FQ679" s="9"/>
      <c r="FR679" s="9"/>
      <c r="FS679" s="9"/>
      <c r="FT679" s="9"/>
      <c r="FU679" s="9"/>
      <c r="FV679" s="9"/>
      <c r="FW679" s="9"/>
      <c r="FX679" s="9"/>
      <c r="FY679" s="9"/>
      <c r="FZ679" s="9"/>
      <c r="GA679" s="9"/>
      <c r="GB679" s="9"/>
      <c r="GC679" s="9"/>
      <c r="GD679" s="9"/>
      <c r="GE679" s="9"/>
      <c r="GF679" s="9"/>
      <c r="GG679" s="9"/>
      <c r="GH679" s="9"/>
      <c r="GI679" s="9"/>
      <c r="GJ679" s="9"/>
      <c r="GK679" s="9"/>
      <c r="GL679" s="9"/>
      <c r="GM679" s="9"/>
      <c r="GN679" s="9"/>
      <c r="GO679" s="9"/>
      <c r="GP679" s="9"/>
      <c r="GQ679" s="9"/>
    </row>
    <row r="680" spans="2:199" ht="15"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  <c r="ES680" s="9"/>
      <c r="ET680" s="9"/>
      <c r="EU680" s="9"/>
      <c r="EV680" s="9"/>
      <c r="EW680" s="9"/>
      <c r="EX680" s="9"/>
      <c r="EY680" s="9"/>
      <c r="EZ680" s="9"/>
      <c r="FA680" s="9"/>
      <c r="FB680" s="9"/>
      <c r="FC680" s="9"/>
      <c r="FD680" s="9"/>
      <c r="FE680" s="9"/>
      <c r="FF680" s="9"/>
      <c r="FG680" s="9"/>
      <c r="FH680" s="9"/>
      <c r="FI680" s="9"/>
      <c r="FJ680" s="9"/>
      <c r="FK680" s="9"/>
      <c r="FL680" s="9"/>
      <c r="FM680" s="9"/>
      <c r="FN680" s="9"/>
      <c r="FO680" s="9"/>
      <c r="FP680" s="9"/>
      <c r="FQ680" s="9"/>
      <c r="FR680" s="9"/>
      <c r="FS680" s="9"/>
      <c r="FT680" s="9"/>
      <c r="FU680" s="9"/>
      <c r="FV680" s="9"/>
      <c r="FW680" s="9"/>
      <c r="FX680" s="9"/>
      <c r="FY680" s="9"/>
      <c r="FZ680" s="9"/>
      <c r="GA680" s="9"/>
      <c r="GB680" s="9"/>
      <c r="GC680" s="9"/>
      <c r="GD680" s="9"/>
      <c r="GE680" s="9"/>
      <c r="GF680" s="9"/>
      <c r="GG680" s="9"/>
      <c r="GH680" s="9"/>
      <c r="GI680" s="9"/>
      <c r="GJ680" s="9"/>
      <c r="GK680" s="9"/>
      <c r="GL680" s="9"/>
      <c r="GM680" s="9"/>
      <c r="GN680" s="9"/>
      <c r="GO680" s="9"/>
      <c r="GP680" s="9"/>
      <c r="GQ680" s="9"/>
    </row>
    <row r="681" spans="2:199" ht="15"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  <c r="ER681" s="9"/>
      <c r="ES681" s="9"/>
      <c r="ET681" s="9"/>
      <c r="EU681" s="9"/>
      <c r="EV681" s="9"/>
      <c r="EW681" s="9"/>
      <c r="EX681" s="9"/>
      <c r="EY681" s="9"/>
      <c r="EZ681" s="9"/>
      <c r="FA681" s="9"/>
      <c r="FB681" s="9"/>
      <c r="FC681" s="9"/>
      <c r="FD681" s="9"/>
      <c r="FE681" s="9"/>
      <c r="FF681" s="9"/>
      <c r="FG681" s="9"/>
      <c r="FH681" s="9"/>
      <c r="FI681" s="9"/>
      <c r="FJ681" s="9"/>
      <c r="FK681" s="9"/>
      <c r="FL681" s="9"/>
      <c r="FM681" s="9"/>
      <c r="FN681" s="9"/>
      <c r="FO681" s="9"/>
      <c r="FP681" s="9"/>
      <c r="FQ681" s="9"/>
      <c r="FR681" s="9"/>
      <c r="FS681" s="9"/>
      <c r="FT681" s="9"/>
      <c r="FU681" s="9"/>
      <c r="FV681" s="9"/>
      <c r="FW681" s="9"/>
      <c r="FX681" s="9"/>
      <c r="FY681" s="9"/>
      <c r="FZ681" s="9"/>
      <c r="GA681" s="9"/>
      <c r="GB681" s="9"/>
      <c r="GC681" s="9"/>
      <c r="GD681" s="9"/>
      <c r="GE681" s="9"/>
      <c r="GF681" s="9"/>
      <c r="GG681" s="9"/>
      <c r="GH681" s="9"/>
      <c r="GI681" s="9"/>
      <c r="GJ681" s="9"/>
      <c r="GK681" s="9"/>
      <c r="GL681" s="9"/>
      <c r="GM681" s="9"/>
      <c r="GN681" s="9"/>
      <c r="GO681" s="9"/>
      <c r="GP681" s="9"/>
      <c r="GQ681" s="9"/>
    </row>
    <row r="682" spans="2:199" ht="15"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  <c r="ER682" s="9"/>
      <c r="ES682" s="9"/>
      <c r="ET682" s="9"/>
      <c r="EU682" s="9"/>
      <c r="EV682" s="9"/>
      <c r="EW682" s="9"/>
      <c r="EX682" s="9"/>
      <c r="EY682" s="9"/>
      <c r="EZ682" s="9"/>
      <c r="FA682" s="9"/>
      <c r="FB682" s="9"/>
      <c r="FC682" s="9"/>
      <c r="FD682" s="9"/>
      <c r="FE682" s="9"/>
      <c r="FF682" s="9"/>
      <c r="FG682" s="9"/>
      <c r="FH682" s="9"/>
      <c r="FI682" s="9"/>
      <c r="FJ682" s="9"/>
      <c r="FK682" s="9"/>
      <c r="FL682" s="9"/>
      <c r="FM682" s="9"/>
      <c r="FN682" s="9"/>
      <c r="FO682" s="9"/>
      <c r="FP682" s="9"/>
      <c r="FQ682" s="9"/>
      <c r="FR682" s="9"/>
      <c r="FS682" s="9"/>
      <c r="FT682" s="9"/>
      <c r="FU682" s="9"/>
      <c r="FV682" s="9"/>
      <c r="FW682" s="9"/>
      <c r="FX682" s="9"/>
      <c r="FY682" s="9"/>
      <c r="FZ682" s="9"/>
      <c r="GA682" s="9"/>
      <c r="GB682" s="9"/>
      <c r="GC682" s="9"/>
      <c r="GD682" s="9"/>
      <c r="GE682" s="9"/>
      <c r="GF682" s="9"/>
      <c r="GG682" s="9"/>
      <c r="GH682" s="9"/>
      <c r="GI682" s="9"/>
      <c r="GJ682" s="9"/>
      <c r="GK682" s="9"/>
      <c r="GL682" s="9"/>
      <c r="GM682" s="9"/>
      <c r="GN682" s="9"/>
      <c r="GO682" s="9"/>
      <c r="GP682" s="9"/>
      <c r="GQ682" s="9"/>
    </row>
    <row r="683" spans="2:199" ht="15"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  <c r="ER683" s="9"/>
      <c r="ES683" s="9"/>
      <c r="ET683" s="9"/>
      <c r="EU683" s="9"/>
      <c r="EV683" s="9"/>
      <c r="EW683" s="9"/>
      <c r="EX683" s="9"/>
      <c r="EY683" s="9"/>
      <c r="EZ683" s="9"/>
      <c r="FA683" s="9"/>
      <c r="FB683" s="9"/>
      <c r="FC683" s="9"/>
      <c r="FD683" s="9"/>
      <c r="FE683" s="9"/>
      <c r="FF683" s="9"/>
      <c r="FG683" s="9"/>
      <c r="FH683" s="9"/>
      <c r="FI683" s="9"/>
      <c r="FJ683" s="9"/>
      <c r="FK683" s="9"/>
      <c r="FL683" s="9"/>
      <c r="FM683" s="9"/>
      <c r="FN683" s="9"/>
      <c r="FO683" s="9"/>
      <c r="FP683" s="9"/>
      <c r="FQ683" s="9"/>
      <c r="FR683" s="9"/>
      <c r="FS683" s="9"/>
      <c r="FT683" s="9"/>
      <c r="FU683" s="9"/>
      <c r="FV683" s="9"/>
      <c r="FW683" s="9"/>
      <c r="FX683" s="9"/>
      <c r="FY683" s="9"/>
      <c r="FZ683" s="9"/>
      <c r="GA683" s="9"/>
      <c r="GB683" s="9"/>
      <c r="GC683" s="9"/>
      <c r="GD683" s="9"/>
      <c r="GE683" s="9"/>
      <c r="GF683" s="9"/>
      <c r="GG683" s="9"/>
      <c r="GH683" s="9"/>
      <c r="GI683" s="9"/>
      <c r="GJ683" s="9"/>
      <c r="GK683" s="9"/>
      <c r="GL683" s="9"/>
      <c r="GM683" s="9"/>
      <c r="GN683" s="9"/>
      <c r="GO683" s="9"/>
      <c r="GP683" s="9"/>
      <c r="GQ683" s="9"/>
    </row>
    <row r="684" spans="2:199" ht="15"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  <c r="ER684" s="9"/>
      <c r="ES684" s="9"/>
      <c r="ET684" s="9"/>
      <c r="EU684" s="9"/>
      <c r="EV684" s="9"/>
      <c r="EW684" s="9"/>
      <c r="EX684" s="9"/>
      <c r="EY684" s="9"/>
      <c r="EZ684" s="9"/>
      <c r="FA684" s="9"/>
      <c r="FB684" s="9"/>
      <c r="FC684" s="9"/>
      <c r="FD684" s="9"/>
      <c r="FE684" s="9"/>
      <c r="FF684" s="9"/>
      <c r="FG684" s="9"/>
      <c r="FH684" s="9"/>
      <c r="FI684" s="9"/>
      <c r="FJ684" s="9"/>
      <c r="FK684" s="9"/>
      <c r="FL684" s="9"/>
      <c r="FM684" s="9"/>
      <c r="FN684" s="9"/>
      <c r="FO684" s="9"/>
      <c r="FP684" s="9"/>
      <c r="FQ684" s="9"/>
      <c r="FR684" s="9"/>
      <c r="FS684" s="9"/>
      <c r="FT684" s="9"/>
      <c r="FU684" s="9"/>
      <c r="FV684" s="9"/>
      <c r="FW684" s="9"/>
      <c r="FX684" s="9"/>
      <c r="FY684" s="9"/>
      <c r="FZ684" s="9"/>
      <c r="GA684" s="9"/>
      <c r="GB684" s="9"/>
      <c r="GC684" s="9"/>
      <c r="GD684" s="9"/>
      <c r="GE684" s="9"/>
      <c r="GF684" s="9"/>
      <c r="GG684" s="9"/>
      <c r="GH684" s="9"/>
      <c r="GI684" s="9"/>
      <c r="GJ684" s="9"/>
      <c r="GK684" s="9"/>
      <c r="GL684" s="9"/>
      <c r="GM684" s="9"/>
      <c r="GN684" s="9"/>
      <c r="GO684" s="9"/>
      <c r="GP684" s="9"/>
      <c r="GQ684" s="9"/>
    </row>
    <row r="685" spans="2:199" ht="15"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  <c r="ER685" s="9"/>
      <c r="ES685" s="9"/>
      <c r="ET685" s="9"/>
      <c r="EU685" s="9"/>
      <c r="EV685" s="9"/>
      <c r="EW685" s="9"/>
      <c r="EX685" s="9"/>
      <c r="EY685" s="9"/>
      <c r="EZ685" s="9"/>
      <c r="FA685" s="9"/>
      <c r="FB685" s="9"/>
      <c r="FC685" s="9"/>
      <c r="FD685" s="9"/>
      <c r="FE685" s="9"/>
      <c r="FF685" s="9"/>
      <c r="FG685" s="9"/>
      <c r="FH685" s="9"/>
      <c r="FI685" s="9"/>
      <c r="FJ685" s="9"/>
      <c r="FK685" s="9"/>
      <c r="FL685" s="9"/>
      <c r="FM685" s="9"/>
      <c r="FN685" s="9"/>
      <c r="FO685" s="9"/>
      <c r="FP685" s="9"/>
      <c r="FQ685" s="9"/>
      <c r="FR685" s="9"/>
      <c r="FS685" s="9"/>
      <c r="FT685" s="9"/>
      <c r="FU685" s="9"/>
      <c r="FV685" s="9"/>
      <c r="FW685" s="9"/>
      <c r="FX685" s="9"/>
      <c r="FY685" s="9"/>
      <c r="FZ685" s="9"/>
      <c r="GA685" s="9"/>
      <c r="GB685" s="9"/>
      <c r="GC685" s="9"/>
      <c r="GD685" s="9"/>
      <c r="GE685" s="9"/>
      <c r="GF685" s="9"/>
      <c r="GG685" s="9"/>
      <c r="GH685" s="9"/>
      <c r="GI685" s="9"/>
      <c r="GJ685" s="9"/>
      <c r="GK685" s="9"/>
      <c r="GL685" s="9"/>
      <c r="GM685" s="9"/>
      <c r="GN685" s="9"/>
      <c r="GO685" s="9"/>
      <c r="GP685" s="9"/>
      <c r="GQ685" s="9"/>
    </row>
    <row r="686" spans="2:199" ht="15"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  <c r="ER686" s="9"/>
      <c r="ES686" s="9"/>
      <c r="ET686" s="9"/>
      <c r="EU686" s="9"/>
      <c r="EV686" s="9"/>
      <c r="EW686" s="9"/>
      <c r="EX686" s="9"/>
      <c r="EY686" s="9"/>
      <c r="EZ686" s="9"/>
      <c r="FA686" s="9"/>
      <c r="FB686" s="9"/>
      <c r="FC686" s="9"/>
      <c r="FD686" s="9"/>
      <c r="FE686" s="9"/>
      <c r="FF686" s="9"/>
      <c r="FG686" s="9"/>
      <c r="FH686" s="9"/>
      <c r="FI686" s="9"/>
      <c r="FJ686" s="9"/>
      <c r="FK686" s="9"/>
      <c r="FL686" s="9"/>
      <c r="FM686" s="9"/>
      <c r="FN686" s="9"/>
      <c r="FO686" s="9"/>
      <c r="FP686" s="9"/>
      <c r="FQ686" s="9"/>
      <c r="FR686" s="9"/>
      <c r="FS686" s="9"/>
      <c r="FT686" s="9"/>
      <c r="FU686" s="9"/>
      <c r="FV686" s="9"/>
      <c r="FW686" s="9"/>
      <c r="FX686" s="9"/>
      <c r="FY686" s="9"/>
      <c r="FZ686" s="9"/>
      <c r="GA686" s="9"/>
      <c r="GB686" s="9"/>
      <c r="GC686" s="9"/>
      <c r="GD686" s="9"/>
      <c r="GE686" s="9"/>
      <c r="GF686" s="9"/>
      <c r="GG686" s="9"/>
      <c r="GH686" s="9"/>
      <c r="GI686" s="9"/>
      <c r="GJ686" s="9"/>
      <c r="GK686" s="9"/>
      <c r="GL686" s="9"/>
      <c r="GM686" s="9"/>
      <c r="GN686" s="9"/>
      <c r="GO686" s="9"/>
      <c r="GP686" s="9"/>
      <c r="GQ686" s="9"/>
    </row>
    <row r="687" spans="2:199" ht="15"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  <c r="ER687" s="9"/>
      <c r="ES687" s="9"/>
      <c r="ET687" s="9"/>
      <c r="EU687" s="9"/>
      <c r="EV687" s="9"/>
      <c r="EW687" s="9"/>
      <c r="EX687" s="9"/>
      <c r="EY687" s="9"/>
      <c r="EZ687" s="9"/>
      <c r="FA687" s="9"/>
      <c r="FB687" s="9"/>
      <c r="FC687" s="9"/>
      <c r="FD687" s="9"/>
      <c r="FE687" s="9"/>
      <c r="FF687" s="9"/>
      <c r="FG687" s="9"/>
      <c r="FH687" s="9"/>
      <c r="FI687" s="9"/>
      <c r="FJ687" s="9"/>
      <c r="FK687" s="9"/>
      <c r="FL687" s="9"/>
      <c r="FM687" s="9"/>
      <c r="FN687" s="9"/>
      <c r="FO687" s="9"/>
      <c r="FP687" s="9"/>
      <c r="FQ687" s="9"/>
      <c r="FR687" s="9"/>
      <c r="FS687" s="9"/>
      <c r="FT687" s="9"/>
      <c r="FU687" s="9"/>
      <c r="FV687" s="9"/>
      <c r="FW687" s="9"/>
      <c r="FX687" s="9"/>
      <c r="FY687" s="9"/>
      <c r="FZ687" s="9"/>
      <c r="GA687" s="9"/>
      <c r="GB687" s="9"/>
      <c r="GC687" s="9"/>
      <c r="GD687" s="9"/>
      <c r="GE687" s="9"/>
      <c r="GF687" s="9"/>
      <c r="GG687" s="9"/>
      <c r="GH687" s="9"/>
      <c r="GI687" s="9"/>
      <c r="GJ687" s="9"/>
      <c r="GK687" s="9"/>
      <c r="GL687" s="9"/>
      <c r="GM687" s="9"/>
      <c r="GN687" s="9"/>
      <c r="GO687" s="9"/>
      <c r="GP687" s="9"/>
      <c r="GQ687" s="9"/>
    </row>
    <row r="688" spans="2:199" ht="15"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  <c r="ES688" s="9"/>
      <c r="ET688" s="9"/>
      <c r="EU688" s="9"/>
      <c r="EV688" s="9"/>
      <c r="EW688" s="9"/>
      <c r="EX688" s="9"/>
      <c r="EY688" s="9"/>
      <c r="EZ688" s="9"/>
      <c r="FA688" s="9"/>
      <c r="FB688" s="9"/>
      <c r="FC688" s="9"/>
      <c r="FD688" s="9"/>
      <c r="FE688" s="9"/>
      <c r="FF688" s="9"/>
      <c r="FG688" s="9"/>
      <c r="FH688" s="9"/>
      <c r="FI688" s="9"/>
      <c r="FJ688" s="9"/>
      <c r="FK688" s="9"/>
      <c r="FL688" s="9"/>
      <c r="FM688" s="9"/>
      <c r="FN688" s="9"/>
      <c r="FO688" s="9"/>
      <c r="FP688" s="9"/>
      <c r="FQ688" s="9"/>
      <c r="FR688" s="9"/>
      <c r="FS688" s="9"/>
      <c r="FT688" s="9"/>
      <c r="FU688" s="9"/>
      <c r="FV688" s="9"/>
      <c r="FW688" s="9"/>
      <c r="FX688" s="9"/>
      <c r="FY688" s="9"/>
      <c r="FZ688" s="9"/>
      <c r="GA688" s="9"/>
      <c r="GB688" s="9"/>
      <c r="GC688" s="9"/>
      <c r="GD688" s="9"/>
      <c r="GE688" s="9"/>
      <c r="GF688" s="9"/>
      <c r="GG688" s="9"/>
      <c r="GH688" s="9"/>
      <c r="GI688" s="9"/>
      <c r="GJ688" s="9"/>
      <c r="GK688" s="9"/>
      <c r="GL688" s="9"/>
      <c r="GM688" s="9"/>
      <c r="GN688" s="9"/>
      <c r="GO688" s="9"/>
      <c r="GP688" s="9"/>
      <c r="GQ688" s="9"/>
    </row>
    <row r="689" spans="2:199" ht="15"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  <c r="ES689" s="9"/>
      <c r="ET689" s="9"/>
      <c r="EU689" s="9"/>
      <c r="EV689" s="9"/>
      <c r="EW689" s="9"/>
      <c r="EX689" s="9"/>
      <c r="EY689" s="9"/>
      <c r="EZ689" s="9"/>
      <c r="FA689" s="9"/>
      <c r="FB689" s="9"/>
      <c r="FC689" s="9"/>
      <c r="FD689" s="9"/>
      <c r="FE689" s="9"/>
      <c r="FF689" s="9"/>
      <c r="FG689" s="9"/>
      <c r="FH689" s="9"/>
      <c r="FI689" s="9"/>
      <c r="FJ689" s="9"/>
      <c r="FK689" s="9"/>
      <c r="FL689" s="9"/>
      <c r="FM689" s="9"/>
      <c r="FN689" s="9"/>
      <c r="FO689" s="9"/>
      <c r="FP689" s="9"/>
      <c r="FQ689" s="9"/>
      <c r="FR689" s="9"/>
      <c r="FS689" s="9"/>
      <c r="FT689" s="9"/>
      <c r="FU689" s="9"/>
      <c r="FV689" s="9"/>
      <c r="FW689" s="9"/>
      <c r="FX689" s="9"/>
      <c r="FY689" s="9"/>
      <c r="FZ689" s="9"/>
      <c r="GA689" s="9"/>
      <c r="GB689" s="9"/>
      <c r="GC689" s="9"/>
      <c r="GD689" s="9"/>
      <c r="GE689" s="9"/>
      <c r="GF689" s="9"/>
      <c r="GG689" s="9"/>
      <c r="GH689" s="9"/>
      <c r="GI689" s="9"/>
      <c r="GJ689" s="9"/>
      <c r="GK689" s="9"/>
      <c r="GL689" s="9"/>
      <c r="GM689" s="9"/>
      <c r="GN689" s="9"/>
      <c r="GO689" s="9"/>
      <c r="GP689" s="9"/>
      <c r="GQ689" s="9"/>
    </row>
    <row r="690" spans="2:199" ht="15"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  <c r="ER690" s="9"/>
      <c r="ES690" s="9"/>
      <c r="ET690" s="9"/>
      <c r="EU690" s="9"/>
      <c r="EV690" s="9"/>
      <c r="EW690" s="9"/>
      <c r="EX690" s="9"/>
      <c r="EY690" s="9"/>
      <c r="EZ690" s="9"/>
      <c r="FA690" s="9"/>
      <c r="FB690" s="9"/>
      <c r="FC690" s="9"/>
      <c r="FD690" s="9"/>
      <c r="FE690" s="9"/>
      <c r="FF690" s="9"/>
      <c r="FG690" s="9"/>
      <c r="FH690" s="9"/>
      <c r="FI690" s="9"/>
      <c r="FJ690" s="9"/>
      <c r="FK690" s="9"/>
      <c r="FL690" s="9"/>
      <c r="FM690" s="9"/>
      <c r="FN690" s="9"/>
      <c r="FO690" s="9"/>
      <c r="FP690" s="9"/>
      <c r="FQ690" s="9"/>
      <c r="FR690" s="9"/>
      <c r="FS690" s="9"/>
      <c r="FT690" s="9"/>
      <c r="FU690" s="9"/>
      <c r="FV690" s="9"/>
      <c r="FW690" s="9"/>
      <c r="FX690" s="9"/>
      <c r="FY690" s="9"/>
      <c r="FZ690" s="9"/>
      <c r="GA690" s="9"/>
      <c r="GB690" s="9"/>
      <c r="GC690" s="9"/>
      <c r="GD690" s="9"/>
      <c r="GE690" s="9"/>
      <c r="GF690" s="9"/>
      <c r="GG690" s="9"/>
      <c r="GH690" s="9"/>
      <c r="GI690" s="9"/>
      <c r="GJ690" s="9"/>
      <c r="GK690" s="9"/>
      <c r="GL690" s="9"/>
      <c r="GM690" s="9"/>
      <c r="GN690" s="9"/>
      <c r="GO690" s="9"/>
      <c r="GP690" s="9"/>
      <c r="GQ690" s="9"/>
    </row>
    <row r="691" spans="2:199" ht="15"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  <c r="ER691" s="9"/>
      <c r="ES691" s="9"/>
      <c r="ET691" s="9"/>
      <c r="EU691" s="9"/>
      <c r="EV691" s="9"/>
      <c r="EW691" s="9"/>
      <c r="EX691" s="9"/>
      <c r="EY691" s="9"/>
      <c r="EZ691" s="9"/>
      <c r="FA691" s="9"/>
      <c r="FB691" s="9"/>
      <c r="FC691" s="9"/>
      <c r="FD691" s="9"/>
      <c r="FE691" s="9"/>
      <c r="FF691" s="9"/>
      <c r="FG691" s="9"/>
      <c r="FH691" s="9"/>
      <c r="FI691" s="9"/>
      <c r="FJ691" s="9"/>
      <c r="FK691" s="9"/>
      <c r="FL691" s="9"/>
      <c r="FM691" s="9"/>
      <c r="FN691" s="9"/>
      <c r="FO691" s="9"/>
      <c r="FP691" s="9"/>
      <c r="FQ691" s="9"/>
      <c r="FR691" s="9"/>
      <c r="FS691" s="9"/>
      <c r="FT691" s="9"/>
      <c r="FU691" s="9"/>
      <c r="FV691" s="9"/>
      <c r="FW691" s="9"/>
      <c r="FX691" s="9"/>
      <c r="FY691" s="9"/>
      <c r="FZ691" s="9"/>
      <c r="GA691" s="9"/>
      <c r="GB691" s="9"/>
      <c r="GC691" s="9"/>
      <c r="GD691" s="9"/>
      <c r="GE691" s="9"/>
      <c r="GF691" s="9"/>
      <c r="GG691" s="9"/>
      <c r="GH691" s="9"/>
      <c r="GI691" s="9"/>
      <c r="GJ691" s="9"/>
      <c r="GK691" s="9"/>
      <c r="GL691" s="9"/>
      <c r="GM691" s="9"/>
      <c r="GN691" s="9"/>
      <c r="GO691" s="9"/>
      <c r="GP691" s="9"/>
      <c r="GQ691" s="9"/>
    </row>
    <row r="692" spans="2:199" ht="15"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  <c r="ER692" s="9"/>
      <c r="ES692" s="9"/>
      <c r="ET692" s="9"/>
      <c r="EU692" s="9"/>
      <c r="EV692" s="9"/>
      <c r="EW692" s="9"/>
      <c r="EX692" s="9"/>
      <c r="EY692" s="9"/>
      <c r="EZ692" s="9"/>
      <c r="FA692" s="9"/>
      <c r="FB692" s="9"/>
      <c r="FC692" s="9"/>
      <c r="FD692" s="9"/>
      <c r="FE692" s="9"/>
      <c r="FF692" s="9"/>
      <c r="FG692" s="9"/>
      <c r="FH692" s="9"/>
      <c r="FI692" s="9"/>
      <c r="FJ692" s="9"/>
      <c r="FK692" s="9"/>
      <c r="FL692" s="9"/>
      <c r="FM692" s="9"/>
      <c r="FN692" s="9"/>
      <c r="FO692" s="9"/>
      <c r="FP692" s="9"/>
      <c r="FQ692" s="9"/>
      <c r="FR692" s="9"/>
      <c r="FS692" s="9"/>
      <c r="FT692" s="9"/>
      <c r="FU692" s="9"/>
      <c r="FV692" s="9"/>
      <c r="FW692" s="9"/>
      <c r="FX692" s="9"/>
      <c r="FY692" s="9"/>
      <c r="FZ692" s="9"/>
      <c r="GA692" s="9"/>
      <c r="GB692" s="9"/>
      <c r="GC692" s="9"/>
      <c r="GD692" s="9"/>
      <c r="GE692" s="9"/>
      <c r="GF692" s="9"/>
      <c r="GG692" s="9"/>
      <c r="GH692" s="9"/>
      <c r="GI692" s="9"/>
      <c r="GJ692" s="9"/>
      <c r="GK692" s="9"/>
      <c r="GL692" s="9"/>
      <c r="GM692" s="9"/>
      <c r="GN692" s="9"/>
      <c r="GO692" s="9"/>
      <c r="GP692" s="9"/>
      <c r="GQ692" s="9"/>
    </row>
    <row r="693" spans="2:199" ht="15"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  <c r="ES693" s="9"/>
      <c r="ET693" s="9"/>
      <c r="EU693" s="9"/>
      <c r="EV693" s="9"/>
      <c r="EW693" s="9"/>
      <c r="EX693" s="9"/>
      <c r="EY693" s="9"/>
      <c r="EZ693" s="9"/>
      <c r="FA693" s="9"/>
      <c r="FB693" s="9"/>
      <c r="FC693" s="9"/>
      <c r="FD693" s="9"/>
      <c r="FE693" s="9"/>
      <c r="FF693" s="9"/>
      <c r="FG693" s="9"/>
      <c r="FH693" s="9"/>
      <c r="FI693" s="9"/>
      <c r="FJ693" s="9"/>
      <c r="FK693" s="9"/>
      <c r="FL693" s="9"/>
      <c r="FM693" s="9"/>
      <c r="FN693" s="9"/>
      <c r="FO693" s="9"/>
      <c r="FP693" s="9"/>
      <c r="FQ693" s="9"/>
      <c r="FR693" s="9"/>
      <c r="FS693" s="9"/>
      <c r="FT693" s="9"/>
      <c r="FU693" s="9"/>
      <c r="FV693" s="9"/>
      <c r="FW693" s="9"/>
      <c r="FX693" s="9"/>
      <c r="FY693" s="9"/>
      <c r="FZ693" s="9"/>
      <c r="GA693" s="9"/>
      <c r="GB693" s="9"/>
      <c r="GC693" s="9"/>
      <c r="GD693" s="9"/>
      <c r="GE693" s="9"/>
      <c r="GF693" s="9"/>
      <c r="GG693" s="9"/>
      <c r="GH693" s="9"/>
      <c r="GI693" s="9"/>
      <c r="GJ693" s="9"/>
      <c r="GK693" s="9"/>
      <c r="GL693" s="9"/>
      <c r="GM693" s="9"/>
      <c r="GN693" s="9"/>
      <c r="GO693" s="9"/>
      <c r="GP693" s="9"/>
      <c r="GQ693" s="9"/>
    </row>
    <row r="694" spans="2:199" ht="15"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  <c r="ER694" s="9"/>
      <c r="ES694" s="9"/>
      <c r="ET694" s="9"/>
      <c r="EU694" s="9"/>
      <c r="EV694" s="9"/>
      <c r="EW694" s="9"/>
      <c r="EX694" s="9"/>
      <c r="EY694" s="9"/>
      <c r="EZ694" s="9"/>
      <c r="FA694" s="9"/>
      <c r="FB694" s="9"/>
      <c r="FC694" s="9"/>
      <c r="FD694" s="9"/>
      <c r="FE694" s="9"/>
      <c r="FF694" s="9"/>
      <c r="FG694" s="9"/>
      <c r="FH694" s="9"/>
      <c r="FI694" s="9"/>
      <c r="FJ694" s="9"/>
      <c r="FK694" s="9"/>
      <c r="FL694" s="9"/>
      <c r="FM694" s="9"/>
      <c r="FN694" s="9"/>
      <c r="FO694" s="9"/>
      <c r="FP694" s="9"/>
      <c r="FQ694" s="9"/>
      <c r="FR694" s="9"/>
      <c r="FS694" s="9"/>
      <c r="FT694" s="9"/>
      <c r="FU694" s="9"/>
      <c r="FV694" s="9"/>
      <c r="FW694" s="9"/>
      <c r="FX694" s="9"/>
      <c r="FY694" s="9"/>
      <c r="FZ694" s="9"/>
      <c r="GA694" s="9"/>
      <c r="GB694" s="9"/>
      <c r="GC694" s="9"/>
      <c r="GD694" s="9"/>
      <c r="GE694" s="9"/>
      <c r="GF694" s="9"/>
      <c r="GG694" s="9"/>
      <c r="GH694" s="9"/>
      <c r="GI694" s="9"/>
      <c r="GJ694" s="9"/>
      <c r="GK694" s="9"/>
      <c r="GL694" s="9"/>
      <c r="GM694" s="9"/>
      <c r="GN694" s="9"/>
      <c r="GO694" s="9"/>
      <c r="GP694" s="9"/>
      <c r="GQ694" s="9"/>
    </row>
    <row r="695" spans="2:199" ht="15"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  <c r="ER695" s="9"/>
      <c r="ES695" s="9"/>
      <c r="ET695" s="9"/>
      <c r="EU695" s="9"/>
      <c r="EV695" s="9"/>
      <c r="EW695" s="9"/>
      <c r="EX695" s="9"/>
      <c r="EY695" s="9"/>
      <c r="EZ695" s="9"/>
      <c r="FA695" s="9"/>
      <c r="FB695" s="9"/>
      <c r="FC695" s="9"/>
      <c r="FD695" s="9"/>
      <c r="FE695" s="9"/>
      <c r="FF695" s="9"/>
      <c r="FG695" s="9"/>
      <c r="FH695" s="9"/>
      <c r="FI695" s="9"/>
      <c r="FJ695" s="9"/>
      <c r="FK695" s="9"/>
      <c r="FL695" s="9"/>
      <c r="FM695" s="9"/>
      <c r="FN695" s="9"/>
      <c r="FO695" s="9"/>
      <c r="FP695" s="9"/>
      <c r="FQ695" s="9"/>
      <c r="FR695" s="9"/>
      <c r="FS695" s="9"/>
      <c r="FT695" s="9"/>
      <c r="FU695" s="9"/>
      <c r="FV695" s="9"/>
      <c r="FW695" s="9"/>
      <c r="FX695" s="9"/>
      <c r="FY695" s="9"/>
      <c r="FZ695" s="9"/>
      <c r="GA695" s="9"/>
      <c r="GB695" s="9"/>
      <c r="GC695" s="9"/>
      <c r="GD695" s="9"/>
      <c r="GE695" s="9"/>
      <c r="GF695" s="9"/>
      <c r="GG695" s="9"/>
      <c r="GH695" s="9"/>
      <c r="GI695" s="9"/>
      <c r="GJ695" s="9"/>
      <c r="GK695" s="9"/>
      <c r="GL695" s="9"/>
      <c r="GM695" s="9"/>
      <c r="GN695" s="9"/>
      <c r="GO695" s="9"/>
      <c r="GP695" s="9"/>
      <c r="GQ695" s="9"/>
    </row>
    <row r="696" spans="2:199" ht="15"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  <c r="ER696" s="9"/>
      <c r="ES696" s="9"/>
      <c r="ET696" s="9"/>
      <c r="EU696" s="9"/>
      <c r="EV696" s="9"/>
      <c r="EW696" s="9"/>
      <c r="EX696" s="9"/>
      <c r="EY696" s="9"/>
      <c r="EZ696" s="9"/>
      <c r="FA696" s="9"/>
      <c r="FB696" s="9"/>
      <c r="FC696" s="9"/>
      <c r="FD696" s="9"/>
      <c r="FE696" s="9"/>
      <c r="FF696" s="9"/>
      <c r="FG696" s="9"/>
      <c r="FH696" s="9"/>
      <c r="FI696" s="9"/>
      <c r="FJ696" s="9"/>
      <c r="FK696" s="9"/>
      <c r="FL696" s="9"/>
      <c r="FM696" s="9"/>
      <c r="FN696" s="9"/>
      <c r="FO696" s="9"/>
      <c r="FP696" s="9"/>
      <c r="FQ696" s="9"/>
      <c r="FR696" s="9"/>
      <c r="FS696" s="9"/>
      <c r="FT696" s="9"/>
      <c r="FU696" s="9"/>
      <c r="FV696" s="9"/>
      <c r="FW696" s="9"/>
      <c r="FX696" s="9"/>
      <c r="FY696" s="9"/>
      <c r="FZ696" s="9"/>
      <c r="GA696" s="9"/>
      <c r="GB696" s="9"/>
      <c r="GC696" s="9"/>
      <c r="GD696" s="9"/>
      <c r="GE696" s="9"/>
      <c r="GF696" s="9"/>
      <c r="GG696" s="9"/>
      <c r="GH696" s="9"/>
      <c r="GI696" s="9"/>
      <c r="GJ696" s="9"/>
      <c r="GK696" s="9"/>
      <c r="GL696" s="9"/>
      <c r="GM696" s="9"/>
      <c r="GN696" s="9"/>
      <c r="GO696" s="9"/>
      <c r="GP696" s="9"/>
      <c r="GQ696" s="9"/>
    </row>
    <row r="697" spans="2:199" ht="15"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  <c r="ER697" s="9"/>
      <c r="ES697" s="9"/>
      <c r="ET697" s="9"/>
      <c r="EU697" s="9"/>
      <c r="EV697" s="9"/>
      <c r="EW697" s="9"/>
      <c r="EX697" s="9"/>
      <c r="EY697" s="9"/>
      <c r="EZ697" s="9"/>
      <c r="FA697" s="9"/>
      <c r="FB697" s="9"/>
      <c r="FC697" s="9"/>
      <c r="FD697" s="9"/>
      <c r="FE697" s="9"/>
      <c r="FF697" s="9"/>
      <c r="FG697" s="9"/>
      <c r="FH697" s="9"/>
      <c r="FI697" s="9"/>
      <c r="FJ697" s="9"/>
      <c r="FK697" s="9"/>
      <c r="FL697" s="9"/>
      <c r="FM697" s="9"/>
      <c r="FN697" s="9"/>
      <c r="FO697" s="9"/>
      <c r="FP697" s="9"/>
      <c r="FQ697" s="9"/>
      <c r="FR697" s="9"/>
      <c r="FS697" s="9"/>
      <c r="FT697" s="9"/>
      <c r="FU697" s="9"/>
      <c r="FV697" s="9"/>
      <c r="FW697" s="9"/>
      <c r="FX697" s="9"/>
      <c r="FY697" s="9"/>
      <c r="FZ697" s="9"/>
      <c r="GA697" s="9"/>
      <c r="GB697" s="9"/>
      <c r="GC697" s="9"/>
      <c r="GD697" s="9"/>
      <c r="GE697" s="9"/>
      <c r="GF697" s="9"/>
      <c r="GG697" s="9"/>
      <c r="GH697" s="9"/>
      <c r="GI697" s="9"/>
      <c r="GJ697" s="9"/>
      <c r="GK697" s="9"/>
      <c r="GL697" s="9"/>
      <c r="GM697" s="9"/>
      <c r="GN697" s="9"/>
      <c r="GO697" s="9"/>
      <c r="GP697" s="9"/>
      <c r="GQ697" s="9"/>
    </row>
    <row r="698" spans="2:199" ht="15"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  <c r="ER698" s="9"/>
      <c r="ES698" s="9"/>
      <c r="ET698" s="9"/>
      <c r="EU698" s="9"/>
      <c r="EV698" s="9"/>
      <c r="EW698" s="9"/>
      <c r="EX698" s="9"/>
      <c r="EY698" s="9"/>
      <c r="EZ698" s="9"/>
      <c r="FA698" s="9"/>
      <c r="FB698" s="9"/>
      <c r="FC698" s="9"/>
      <c r="FD698" s="9"/>
      <c r="FE698" s="9"/>
      <c r="FF698" s="9"/>
      <c r="FG698" s="9"/>
      <c r="FH698" s="9"/>
      <c r="FI698" s="9"/>
      <c r="FJ698" s="9"/>
      <c r="FK698" s="9"/>
      <c r="FL698" s="9"/>
      <c r="FM698" s="9"/>
      <c r="FN698" s="9"/>
      <c r="FO698" s="9"/>
      <c r="FP698" s="9"/>
      <c r="FQ698" s="9"/>
      <c r="FR698" s="9"/>
      <c r="FS698" s="9"/>
      <c r="FT698" s="9"/>
      <c r="FU698" s="9"/>
      <c r="FV698" s="9"/>
      <c r="FW698" s="9"/>
      <c r="FX698" s="9"/>
      <c r="FY698" s="9"/>
      <c r="FZ698" s="9"/>
      <c r="GA698" s="9"/>
      <c r="GB698" s="9"/>
      <c r="GC698" s="9"/>
      <c r="GD698" s="9"/>
      <c r="GE698" s="9"/>
      <c r="GF698" s="9"/>
      <c r="GG698" s="9"/>
      <c r="GH698" s="9"/>
      <c r="GI698" s="9"/>
      <c r="GJ698" s="9"/>
      <c r="GK698" s="9"/>
      <c r="GL698" s="9"/>
      <c r="GM698" s="9"/>
      <c r="GN698" s="9"/>
      <c r="GO698" s="9"/>
      <c r="GP698" s="9"/>
      <c r="GQ698" s="9"/>
    </row>
    <row r="699" spans="2:199" ht="15"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  <c r="ER699" s="9"/>
      <c r="ES699" s="9"/>
      <c r="ET699" s="9"/>
      <c r="EU699" s="9"/>
      <c r="EV699" s="9"/>
      <c r="EW699" s="9"/>
      <c r="EX699" s="9"/>
      <c r="EY699" s="9"/>
      <c r="EZ699" s="9"/>
      <c r="FA699" s="9"/>
      <c r="FB699" s="9"/>
      <c r="FC699" s="9"/>
      <c r="FD699" s="9"/>
      <c r="FE699" s="9"/>
      <c r="FF699" s="9"/>
      <c r="FG699" s="9"/>
      <c r="FH699" s="9"/>
      <c r="FI699" s="9"/>
      <c r="FJ699" s="9"/>
      <c r="FK699" s="9"/>
      <c r="FL699" s="9"/>
      <c r="FM699" s="9"/>
      <c r="FN699" s="9"/>
      <c r="FO699" s="9"/>
      <c r="FP699" s="9"/>
      <c r="FQ699" s="9"/>
      <c r="FR699" s="9"/>
      <c r="FS699" s="9"/>
      <c r="FT699" s="9"/>
      <c r="FU699" s="9"/>
      <c r="FV699" s="9"/>
      <c r="FW699" s="9"/>
      <c r="FX699" s="9"/>
      <c r="FY699" s="9"/>
      <c r="FZ699" s="9"/>
      <c r="GA699" s="9"/>
      <c r="GB699" s="9"/>
      <c r="GC699" s="9"/>
      <c r="GD699" s="9"/>
      <c r="GE699" s="9"/>
      <c r="GF699" s="9"/>
      <c r="GG699" s="9"/>
      <c r="GH699" s="9"/>
      <c r="GI699" s="9"/>
      <c r="GJ699" s="9"/>
      <c r="GK699" s="9"/>
      <c r="GL699" s="9"/>
      <c r="GM699" s="9"/>
      <c r="GN699" s="9"/>
      <c r="GO699" s="9"/>
      <c r="GP699" s="9"/>
      <c r="GQ699" s="9"/>
    </row>
    <row r="700" spans="2:199" ht="15"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  <c r="ER700" s="9"/>
      <c r="ES700" s="9"/>
      <c r="ET700" s="9"/>
      <c r="EU700" s="9"/>
      <c r="EV700" s="9"/>
      <c r="EW700" s="9"/>
      <c r="EX700" s="9"/>
      <c r="EY700" s="9"/>
      <c r="EZ700" s="9"/>
      <c r="FA700" s="9"/>
      <c r="FB700" s="9"/>
      <c r="FC700" s="9"/>
      <c r="FD700" s="9"/>
      <c r="FE700" s="9"/>
      <c r="FF700" s="9"/>
      <c r="FG700" s="9"/>
      <c r="FH700" s="9"/>
      <c r="FI700" s="9"/>
      <c r="FJ700" s="9"/>
      <c r="FK700" s="9"/>
      <c r="FL700" s="9"/>
      <c r="FM700" s="9"/>
      <c r="FN700" s="9"/>
      <c r="FO700" s="9"/>
      <c r="FP700" s="9"/>
      <c r="FQ700" s="9"/>
      <c r="FR700" s="9"/>
      <c r="FS700" s="9"/>
      <c r="FT700" s="9"/>
      <c r="FU700" s="9"/>
      <c r="FV700" s="9"/>
      <c r="FW700" s="9"/>
      <c r="FX700" s="9"/>
      <c r="FY700" s="9"/>
      <c r="FZ700" s="9"/>
      <c r="GA700" s="9"/>
      <c r="GB700" s="9"/>
      <c r="GC700" s="9"/>
      <c r="GD700" s="9"/>
      <c r="GE700" s="9"/>
      <c r="GF700" s="9"/>
      <c r="GG700" s="9"/>
      <c r="GH700" s="9"/>
      <c r="GI700" s="9"/>
      <c r="GJ700" s="9"/>
      <c r="GK700" s="9"/>
      <c r="GL700" s="9"/>
      <c r="GM700" s="9"/>
      <c r="GN700" s="9"/>
      <c r="GO700" s="9"/>
      <c r="GP700" s="9"/>
      <c r="GQ700" s="9"/>
    </row>
    <row r="701" spans="2:199" ht="15"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  <c r="ER701" s="9"/>
      <c r="ES701" s="9"/>
      <c r="ET701" s="9"/>
      <c r="EU701" s="9"/>
      <c r="EV701" s="9"/>
      <c r="EW701" s="9"/>
      <c r="EX701" s="9"/>
      <c r="EY701" s="9"/>
      <c r="EZ701" s="9"/>
      <c r="FA701" s="9"/>
      <c r="FB701" s="9"/>
      <c r="FC701" s="9"/>
      <c r="FD701" s="9"/>
      <c r="FE701" s="9"/>
      <c r="FF701" s="9"/>
      <c r="FG701" s="9"/>
      <c r="FH701" s="9"/>
      <c r="FI701" s="9"/>
      <c r="FJ701" s="9"/>
      <c r="FK701" s="9"/>
      <c r="FL701" s="9"/>
      <c r="FM701" s="9"/>
      <c r="FN701" s="9"/>
      <c r="FO701" s="9"/>
      <c r="FP701" s="9"/>
      <c r="FQ701" s="9"/>
      <c r="FR701" s="9"/>
      <c r="FS701" s="9"/>
      <c r="FT701" s="9"/>
      <c r="FU701" s="9"/>
      <c r="FV701" s="9"/>
      <c r="FW701" s="9"/>
      <c r="FX701" s="9"/>
      <c r="FY701" s="9"/>
      <c r="FZ701" s="9"/>
      <c r="GA701" s="9"/>
      <c r="GB701" s="9"/>
      <c r="GC701" s="9"/>
      <c r="GD701" s="9"/>
      <c r="GE701" s="9"/>
      <c r="GF701" s="9"/>
      <c r="GG701" s="9"/>
      <c r="GH701" s="9"/>
      <c r="GI701" s="9"/>
      <c r="GJ701" s="9"/>
      <c r="GK701" s="9"/>
      <c r="GL701" s="9"/>
      <c r="GM701" s="9"/>
      <c r="GN701" s="9"/>
      <c r="GO701" s="9"/>
      <c r="GP701" s="9"/>
      <c r="GQ701" s="9"/>
    </row>
    <row r="702" spans="2:199" ht="15"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  <c r="ER702" s="9"/>
      <c r="ES702" s="9"/>
      <c r="ET702" s="9"/>
      <c r="EU702" s="9"/>
      <c r="EV702" s="9"/>
      <c r="EW702" s="9"/>
      <c r="EX702" s="9"/>
      <c r="EY702" s="9"/>
      <c r="EZ702" s="9"/>
      <c r="FA702" s="9"/>
      <c r="FB702" s="9"/>
      <c r="FC702" s="9"/>
      <c r="FD702" s="9"/>
      <c r="FE702" s="9"/>
      <c r="FF702" s="9"/>
      <c r="FG702" s="9"/>
      <c r="FH702" s="9"/>
      <c r="FI702" s="9"/>
      <c r="FJ702" s="9"/>
      <c r="FK702" s="9"/>
      <c r="FL702" s="9"/>
      <c r="FM702" s="9"/>
      <c r="FN702" s="9"/>
      <c r="FO702" s="9"/>
      <c r="FP702" s="9"/>
      <c r="FQ702" s="9"/>
      <c r="FR702" s="9"/>
      <c r="FS702" s="9"/>
      <c r="FT702" s="9"/>
      <c r="FU702" s="9"/>
      <c r="FV702" s="9"/>
      <c r="FW702" s="9"/>
      <c r="FX702" s="9"/>
      <c r="FY702" s="9"/>
      <c r="FZ702" s="9"/>
      <c r="GA702" s="9"/>
      <c r="GB702" s="9"/>
      <c r="GC702" s="9"/>
      <c r="GD702" s="9"/>
      <c r="GE702" s="9"/>
      <c r="GF702" s="9"/>
      <c r="GG702" s="9"/>
      <c r="GH702" s="9"/>
      <c r="GI702" s="9"/>
      <c r="GJ702" s="9"/>
      <c r="GK702" s="9"/>
      <c r="GL702" s="9"/>
      <c r="GM702" s="9"/>
      <c r="GN702" s="9"/>
      <c r="GO702" s="9"/>
      <c r="GP702" s="9"/>
      <c r="GQ702" s="9"/>
    </row>
    <row r="703" spans="2:199" ht="15"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  <c r="EQ703" s="9"/>
      <c r="ER703" s="9"/>
      <c r="ES703" s="9"/>
      <c r="ET703" s="9"/>
      <c r="EU703" s="9"/>
      <c r="EV703" s="9"/>
      <c r="EW703" s="9"/>
      <c r="EX703" s="9"/>
      <c r="EY703" s="9"/>
      <c r="EZ703" s="9"/>
      <c r="FA703" s="9"/>
      <c r="FB703" s="9"/>
      <c r="FC703" s="9"/>
      <c r="FD703" s="9"/>
      <c r="FE703" s="9"/>
      <c r="FF703" s="9"/>
      <c r="FG703" s="9"/>
      <c r="FH703" s="9"/>
      <c r="FI703" s="9"/>
      <c r="FJ703" s="9"/>
      <c r="FK703" s="9"/>
      <c r="FL703" s="9"/>
      <c r="FM703" s="9"/>
      <c r="FN703" s="9"/>
      <c r="FO703" s="9"/>
      <c r="FP703" s="9"/>
      <c r="FQ703" s="9"/>
      <c r="FR703" s="9"/>
      <c r="FS703" s="9"/>
      <c r="FT703" s="9"/>
      <c r="FU703" s="9"/>
      <c r="FV703" s="9"/>
      <c r="FW703" s="9"/>
      <c r="FX703" s="9"/>
      <c r="FY703" s="9"/>
      <c r="FZ703" s="9"/>
      <c r="GA703" s="9"/>
      <c r="GB703" s="9"/>
      <c r="GC703" s="9"/>
      <c r="GD703" s="9"/>
      <c r="GE703" s="9"/>
      <c r="GF703" s="9"/>
      <c r="GG703" s="9"/>
      <c r="GH703" s="9"/>
      <c r="GI703" s="9"/>
      <c r="GJ703" s="9"/>
      <c r="GK703" s="9"/>
      <c r="GL703" s="9"/>
      <c r="GM703" s="9"/>
      <c r="GN703" s="9"/>
      <c r="GO703" s="9"/>
      <c r="GP703" s="9"/>
      <c r="GQ703" s="9"/>
    </row>
    <row r="704" spans="2:199" ht="15"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  <c r="ER704" s="9"/>
      <c r="ES704" s="9"/>
      <c r="ET704" s="9"/>
      <c r="EU704" s="9"/>
      <c r="EV704" s="9"/>
      <c r="EW704" s="9"/>
      <c r="EX704" s="9"/>
      <c r="EY704" s="9"/>
      <c r="EZ704" s="9"/>
      <c r="FA704" s="9"/>
      <c r="FB704" s="9"/>
      <c r="FC704" s="9"/>
      <c r="FD704" s="9"/>
      <c r="FE704" s="9"/>
      <c r="FF704" s="9"/>
      <c r="FG704" s="9"/>
      <c r="FH704" s="9"/>
      <c r="FI704" s="9"/>
      <c r="FJ704" s="9"/>
      <c r="FK704" s="9"/>
      <c r="FL704" s="9"/>
      <c r="FM704" s="9"/>
      <c r="FN704" s="9"/>
      <c r="FO704" s="9"/>
      <c r="FP704" s="9"/>
      <c r="FQ704" s="9"/>
      <c r="FR704" s="9"/>
      <c r="FS704" s="9"/>
      <c r="FT704" s="9"/>
      <c r="FU704" s="9"/>
      <c r="FV704" s="9"/>
      <c r="FW704" s="9"/>
      <c r="FX704" s="9"/>
      <c r="FY704" s="9"/>
      <c r="FZ704" s="9"/>
      <c r="GA704" s="9"/>
      <c r="GB704" s="9"/>
      <c r="GC704" s="9"/>
      <c r="GD704" s="9"/>
      <c r="GE704" s="9"/>
      <c r="GF704" s="9"/>
      <c r="GG704" s="9"/>
      <c r="GH704" s="9"/>
      <c r="GI704" s="9"/>
      <c r="GJ704" s="9"/>
      <c r="GK704" s="9"/>
      <c r="GL704" s="9"/>
      <c r="GM704" s="9"/>
      <c r="GN704" s="9"/>
      <c r="GO704" s="9"/>
      <c r="GP704" s="9"/>
      <c r="GQ704" s="9"/>
    </row>
    <row r="705" spans="2:199" ht="15"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  <c r="ER705" s="9"/>
      <c r="ES705" s="9"/>
      <c r="ET705" s="9"/>
      <c r="EU705" s="9"/>
      <c r="EV705" s="9"/>
      <c r="EW705" s="9"/>
      <c r="EX705" s="9"/>
      <c r="EY705" s="9"/>
      <c r="EZ705" s="9"/>
      <c r="FA705" s="9"/>
      <c r="FB705" s="9"/>
      <c r="FC705" s="9"/>
      <c r="FD705" s="9"/>
      <c r="FE705" s="9"/>
      <c r="FF705" s="9"/>
      <c r="FG705" s="9"/>
      <c r="FH705" s="9"/>
      <c r="FI705" s="9"/>
      <c r="FJ705" s="9"/>
      <c r="FK705" s="9"/>
      <c r="FL705" s="9"/>
      <c r="FM705" s="9"/>
      <c r="FN705" s="9"/>
      <c r="FO705" s="9"/>
      <c r="FP705" s="9"/>
      <c r="FQ705" s="9"/>
      <c r="FR705" s="9"/>
      <c r="FS705" s="9"/>
      <c r="FT705" s="9"/>
      <c r="FU705" s="9"/>
      <c r="FV705" s="9"/>
      <c r="FW705" s="9"/>
      <c r="FX705" s="9"/>
      <c r="FY705" s="9"/>
      <c r="FZ705" s="9"/>
      <c r="GA705" s="9"/>
      <c r="GB705" s="9"/>
      <c r="GC705" s="9"/>
      <c r="GD705" s="9"/>
      <c r="GE705" s="9"/>
      <c r="GF705" s="9"/>
      <c r="GG705" s="9"/>
      <c r="GH705" s="9"/>
      <c r="GI705" s="9"/>
      <c r="GJ705" s="9"/>
      <c r="GK705" s="9"/>
      <c r="GL705" s="9"/>
      <c r="GM705" s="9"/>
      <c r="GN705" s="9"/>
      <c r="GO705" s="9"/>
      <c r="GP705" s="9"/>
      <c r="GQ705" s="9"/>
    </row>
    <row r="706" spans="2:199" ht="15"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  <c r="EH706" s="9"/>
      <c r="EI706" s="9"/>
      <c r="EJ706" s="9"/>
      <c r="EK706" s="9"/>
      <c r="EL706" s="9"/>
      <c r="EM706" s="9"/>
      <c r="EN706" s="9"/>
      <c r="EO706" s="9"/>
      <c r="EP706" s="9"/>
      <c r="EQ706" s="9"/>
      <c r="ER706" s="9"/>
      <c r="ES706" s="9"/>
      <c r="ET706" s="9"/>
      <c r="EU706" s="9"/>
      <c r="EV706" s="9"/>
      <c r="EW706" s="9"/>
      <c r="EX706" s="9"/>
      <c r="EY706" s="9"/>
      <c r="EZ706" s="9"/>
      <c r="FA706" s="9"/>
      <c r="FB706" s="9"/>
      <c r="FC706" s="9"/>
      <c r="FD706" s="9"/>
      <c r="FE706" s="9"/>
      <c r="FF706" s="9"/>
      <c r="FG706" s="9"/>
      <c r="FH706" s="9"/>
      <c r="FI706" s="9"/>
      <c r="FJ706" s="9"/>
      <c r="FK706" s="9"/>
      <c r="FL706" s="9"/>
      <c r="FM706" s="9"/>
      <c r="FN706" s="9"/>
      <c r="FO706" s="9"/>
      <c r="FP706" s="9"/>
      <c r="FQ706" s="9"/>
      <c r="FR706" s="9"/>
      <c r="FS706" s="9"/>
      <c r="FT706" s="9"/>
      <c r="FU706" s="9"/>
      <c r="FV706" s="9"/>
      <c r="FW706" s="9"/>
      <c r="FX706" s="9"/>
      <c r="FY706" s="9"/>
      <c r="FZ706" s="9"/>
      <c r="GA706" s="9"/>
      <c r="GB706" s="9"/>
      <c r="GC706" s="9"/>
      <c r="GD706" s="9"/>
      <c r="GE706" s="9"/>
      <c r="GF706" s="9"/>
      <c r="GG706" s="9"/>
      <c r="GH706" s="9"/>
      <c r="GI706" s="9"/>
      <c r="GJ706" s="9"/>
      <c r="GK706" s="9"/>
      <c r="GL706" s="9"/>
      <c r="GM706" s="9"/>
      <c r="GN706" s="9"/>
      <c r="GO706" s="9"/>
      <c r="GP706" s="9"/>
      <c r="GQ706" s="9"/>
    </row>
    <row r="707" spans="2:199" ht="15"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  <c r="EF707" s="9"/>
      <c r="EG707" s="9"/>
      <c r="EH707" s="9"/>
      <c r="EI707" s="9"/>
      <c r="EJ707" s="9"/>
      <c r="EK707" s="9"/>
      <c r="EL707" s="9"/>
      <c r="EM707" s="9"/>
      <c r="EN707" s="9"/>
      <c r="EO707" s="9"/>
      <c r="EP707" s="9"/>
      <c r="EQ707" s="9"/>
      <c r="ER707" s="9"/>
      <c r="ES707" s="9"/>
      <c r="ET707" s="9"/>
      <c r="EU707" s="9"/>
      <c r="EV707" s="9"/>
      <c r="EW707" s="9"/>
      <c r="EX707" s="9"/>
      <c r="EY707" s="9"/>
      <c r="EZ707" s="9"/>
      <c r="FA707" s="9"/>
      <c r="FB707" s="9"/>
      <c r="FC707" s="9"/>
      <c r="FD707" s="9"/>
      <c r="FE707" s="9"/>
      <c r="FF707" s="9"/>
      <c r="FG707" s="9"/>
      <c r="FH707" s="9"/>
      <c r="FI707" s="9"/>
      <c r="FJ707" s="9"/>
      <c r="FK707" s="9"/>
      <c r="FL707" s="9"/>
      <c r="FM707" s="9"/>
      <c r="FN707" s="9"/>
      <c r="FO707" s="9"/>
      <c r="FP707" s="9"/>
      <c r="FQ707" s="9"/>
      <c r="FR707" s="9"/>
      <c r="FS707" s="9"/>
      <c r="FT707" s="9"/>
      <c r="FU707" s="9"/>
      <c r="FV707" s="9"/>
      <c r="FW707" s="9"/>
      <c r="FX707" s="9"/>
      <c r="FY707" s="9"/>
      <c r="FZ707" s="9"/>
      <c r="GA707" s="9"/>
      <c r="GB707" s="9"/>
      <c r="GC707" s="9"/>
      <c r="GD707" s="9"/>
      <c r="GE707" s="9"/>
      <c r="GF707" s="9"/>
      <c r="GG707" s="9"/>
      <c r="GH707" s="9"/>
      <c r="GI707" s="9"/>
      <c r="GJ707" s="9"/>
      <c r="GK707" s="9"/>
      <c r="GL707" s="9"/>
      <c r="GM707" s="9"/>
      <c r="GN707" s="9"/>
      <c r="GO707" s="9"/>
      <c r="GP707" s="9"/>
      <c r="GQ707" s="9"/>
    </row>
    <row r="708" spans="2:199" ht="15"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  <c r="EH708" s="9"/>
      <c r="EI708" s="9"/>
      <c r="EJ708" s="9"/>
      <c r="EK708" s="9"/>
      <c r="EL708" s="9"/>
      <c r="EM708" s="9"/>
      <c r="EN708" s="9"/>
      <c r="EO708" s="9"/>
      <c r="EP708" s="9"/>
      <c r="EQ708" s="9"/>
      <c r="ER708" s="9"/>
      <c r="ES708" s="9"/>
      <c r="ET708" s="9"/>
      <c r="EU708" s="9"/>
      <c r="EV708" s="9"/>
      <c r="EW708" s="9"/>
      <c r="EX708" s="9"/>
      <c r="EY708" s="9"/>
      <c r="EZ708" s="9"/>
      <c r="FA708" s="9"/>
      <c r="FB708" s="9"/>
      <c r="FC708" s="9"/>
      <c r="FD708" s="9"/>
      <c r="FE708" s="9"/>
      <c r="FF708" s="9"/>
      <c r="FG708" s="9"/>
      <c r="FH708" s="9"/>
      <c r="FI708" s="9"/>
      <c r="FJ708" s="9"/>
      <c r="FK708" s="9"/>
      <c r="FL708" s="9"/>
      <c r="FM708" s="9"/>
      <c r="FN708" s="9"/>
      <c r="FO708" s="9"/>
      <c r="FP708" s="9"/>
      <c r="FQ708" s="9"/>
      <c r="FR708" s="9"/>
      <c r="FS708" s="9"/>
      <c r="FT708" s="9"/>
      <c r="FU708" s="9"/>
      <c r="FV708" s="9"/>
      <c r="FW708" s="9"/>
      <c r="FX708" s="9"/>
      <c r="FY708" s="9"/>
      <c r="FZ708" s="9"/>
      <c r="GA708" s="9"/>
      <c r="GB708" s="9"/>
      <c r="GC708" s="9"/>
      <c r="GD708" s="9"/>
      <c r="GE708" s="9"/>
      <c r="GF708" s="9"/>
      <c r="GG708" s="9"/>
      <c r="GH708" s="9"/>
      <c r="GI708" s="9"/>
      <c r="GJ708" s="9"/>
      <c r="GK708" s="9"/>
      <c r="GL708" s="9"/>
      <c r="GM708" s="9"/>
      <c r="GN708" s="9"/>
      <c r="GO708" s="9"/>
      <c r="GP708" s="9"/>
      <c r="GQ708" s="9"/>
    </row>
    <row r="709" spans="2:199" ht="15"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  <c r="EF709" s="9"/>
      <c r="EG709" s="9"/>
      <c r="EH709" s="9"/>
      <c r="EI709" s="9"/>
      <c r="EJ709" s="9"/>
      <c r="EK709" s="9"/>
      <c r="EL709" s="9"/>
      <c r="EM709" s="9"/>
      <c r="EN709" s="9"/>
      <c r="EO709" s="9"/>
      <c r="EP709" s="9"/>
      <c r="EQ709" s="9"/>
      <c r="ER709" s="9"/>
      <c r="ES709" s="9"/>
      <c r="ET709" s="9"/>
      <c r="EU709" s="9"/>
      <c r="EV709" s="9"/>
      <c r="EW709" s="9"/>
      <c r="EX709" s="9"/>
      <c r="EY709" s="9"/>
      <c r="EZ709" s="9"/>
      <c r="FA709" s="9"/>
      <c r="FB709" s="9"/>
      <c r="FC709" s="9"/>
      <c r="FD709" s="9"/>
      <c r="FE709" s="9"/>
      <c r="FF709" s="9"/>
      <c r="FG709" s="9"/>
      <c r="FH709" s="9"/>
      <c r="FI709" s="9"/>
      <c r="FJ709" s="9"/>
      <c r="FK709" s="9"/>
      <c r="FL709" s="9"/>
      <c r="FM709" s="9"/>
      <c r="FN709" s="9"/>
      <c r="FO709" s="9"/>
      <c r="FP709" s="9"/>
      <c r="FQ709" s="9"/>
      <c r="FR709" s="9"/>
      <c r="FS709" s="9"/>
      <c r="FT709" s="9"/>
      <c r="FU709" s="9"/>
      <c r="FV709" s="9"/>
      <c r="FW709" s="9"/>
      <c r="FX709" s="9"/>
      <c r="FY709" s="9"/>
      <c r="FZ709" s="9"/>
      <c r="GA709" s="9"/>
      <c r="GB709" s="9"/>
      <c r="GC709" s="9"/>
      <c r="GD709" s="9"/>
      <c r="GE709" s="9"/>
      <c r="GF709" s="9"/>
      <c r="GG709" s="9"/>
      <c r="GH709" s="9"/>
      <c r="GI709" s="9"/>
      <c r="GJ709" s="9"/>
      <c r="GK709" s="9"/>
      <c r="GL709" s="9"/>
      <c r="GM709" s="9"/>
      <c r="GN709" s="9"/>
      <c r="GO709" s="9"/>
      <c r="GP709" s="9"/>
      <c r="GQ709" s="9"/>
    </row>
    <row r="710" spans="2:199" ht="15"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  <c r="EH710" s="9"/>
      <c r="EI710" s="9"/>
      <c r="EJ710" s="9"/>
      <c r="EK710" s="9"/>
      <c r="EL710" s="9"/>
      <c r="EM710" s="9"/>
      <c r="EN710" s="9"/>
      <c r="EO710" s="9"/>
      <c r="EP710" s="9"/>
      <c r="EQ710" s="9"/>
      <c r="ER710" s="9"/>
      <c r="ES710" s="9"/>
      <c r="ET710" s="9"/>
      <c r="EU710" s="9"/>
      <c r="EV710" s="9"/>
      <c r="EW710" s="9"/>
      <c r="EX710" s="9"/>
      <c r="EY710" s="9"/>
      <c r="EZ710" s="9"/>
      <c r="FA710" s="9"/>
      <c r="FB710" s="9"/>
      <c r="FC710" s="9"/>
      <c r="FD710" s="9"/>
      <c r="FE710" s="9"/>
      <c r="FF710" s="9"/>
      <c r="FG710" s="9"/>
      <c r="FH710" s="9"/>
      <c r="FI710" s="9"/>
      <c r="FJ710" s="9"/>
      <c r="FK710" s="9"/>
      <c r="FL710" s="9"/>
      <c r="FM710" s="9"/>
      <c r="FN710" s="9"/>
      <c r="FO710" s="9"/>
      <c r="FP710" s="9"/>
      <c r="FQ710" s="9"/>
      <c r="FR710" s="9"/>
      <c r="FS710" s="9"/>
      <c r="FT710" s="9"/>
      <c r="FU710" s="9"/>
      <c r="FV710" s="9"/>
      <c r="FW710" s="9"/>
      <c r="FX710" s="9"/>
      <c r="FY710" s="9"/>
      <c r="FZ710" s="9"/>
      <c r="GA710" s="9"/>
      <c r="GB710" s="9"/>
      <c r="GC710" s="9"/>
      <c r="GD710" s="9"/>
      <c r="GE710" s="9"/>
      <c r="GF710" s="9"/>
      <c r="GG710" s="9"/>
      <c r="GH710" s="9"/>
      <c r="GI710" s="9"/>
      <c r="GJ710" s="9"/>
      <c r="GK710" s="9"/>
      <c r="GL710" s="9"/>
      <c r="GM710" s="9"/>
      <c r="GN710" s="9"/>
      <c r="GO710" s="9"/>
      <c r="GP710" s="9"/>
      <c r="GQ710" s="9"/>
    </row>
    <row r="711" spans="2:199" ht="15"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  <c r="EP711" s="9"/>
      <c r="EQ711" s="9"/>
      <c r="ER711" s="9"/>
      <c r="ES711" s="9"/>
      <c r="ET711" s="9"/>
      <c r="EU711" s="9"/>
      <c r="EV711" s="9"/>
      <c r="EW711" s="9"/>
      <c r="EX711" s="9"/>
      <c r="EY711" s="9"/>
      <c r="EZ711" s="9"/>
      <c r="FA711" s="9"/>
      <c r="FB711" s="9"/>
      <c r="FC711" s="9"/>
      <c r="FD711" s="9"/>
      <c r="FE711" s="9"/>
      <c r="FF711" s="9"/>
      <c r="FG711" s="9"/>
      <c r="FH711" s="9"/>
      <c r="FI711" s="9"/>
      <c r="FJ711" s="9"/>
      <c r="FK711" s="9"/>
      <c r="FL711" s="9"/>
      <c r="FM711" s="9"/>
      <c r="FN711" s="9"/>
      <c r="FO711" s="9"/>
      <c r="FP711" s="9"/>
      <c r="FQ711" s="9"/>
      <c r="FR711" s="9"/>
      <c r="FS711" s="9"/>
      <c r="FT711" s="9"/>
      <c r="FU711" s="9"/>
      <c r="FV711" s="9"/>
      <c r="FW711" s="9"/>
      <c r="FX711" s="9"/>
      <c r="FY711" s="9"/>
      <c r="FZ711" s="9"/>
      <c r="GA711" s="9"/>
      <c r="GB711" s="9"/>
      <c r="GC711" s="9"/>
      <c r="GD711" s="9"/>
      <c r="GE711" s="9"/>
      <c r="GF711" s="9"/>
      <c r="GG711" s="9"/>
      <c r="GH711" s="9"/>
      <c r="GI711" s="9"/>
      <c r="GJ711" s="9"/>
      <c r="GK711" s="9"/>
      <c r="GL711" s="9"/>
      <c r="GM711" s="9"/>
      <c r="GN711" s="9"/>
      <c r="GO711" s="9"/>
      <c r="GP711" s="9"/>
      <c r="GQ711" s="9"/>
    </row>
    <row r="712" spans="2:199" ht="15"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  <c r="EH712" s="9"/>
      <c r="EI712" s="9"/>
      <c r="EJ712" s="9"/>
      <c r="EK712" s="9"/>
      <c r="EL712" s="9"/>
      <c r="EM712" s="9"/>
      <c r="EN712" s="9"/>
      <c r="EO712" s="9"/>
      <c r="EP712" s="9"/>
      <c r="EQ712" s="9"/>
      <c r="ER712" s="9"/>
      <c r="ES712" s="9"/>
      <c r="ET712" s="9"/>
      <c r="EU712" s="9"/>
      <c r="EV712" s="9"/>
      <c r="EW712" s="9"/>
      <c r="EX712" s="9"/>
      <c r="EY712" s="9"/>
      <c r="EZ712" s="9"/>
      <c r="FA712" s="9"/>
      <c r="FB712" s="9"/>
      <c r="FC712" s="9"/>
      <c r="FD712" s="9"/>
      <c r="FE712" s="9"/>
      <c r="FF712" s="9"/>
      <c r="FG712" s="9"/>
      <c r="FH712" s="9"/>
      <c r="FI712" s="9"/>
      <c r="FJ712" s="9"/>
      <c r="FK712" s="9"/>
      <c r="FL712" s="9"/>
      <c r="FM712" s="9"/>
      <c r="FN712" s="9"/>
      <c r="FO712" s="9"/>
      <c r="FP712" s="9"/>
      <c r="FQ712" s="9"/>
      <c r="FR712" s="9"/>
      <c r="FS712" s="9"/>
      <c r="FT712" s="9"/>
      <c r="FU712" s="9"/>
      <c r="FV712" s="9"/>
      <c r="FW712" s="9"/>
      <c r="FX712" s="9"/>
      <c r="FY712" s="9"/>
      <c r="FZ712" s="9"/>
      <c r="GA712" s="9"/>
      <c r="GB712" s="9"/>
      <c r="GC712" s="9"/>
      <c r="GD712" s="9"/>
      <c r="GE712" s="9"/>
      <c r="GF712" s="9"/>
      <c r="GG712" s="9"/>
      <c r="GH712" s="9"/>
      <c r="GI712" s="9"/>
      <c r="GJ712" s="9"/>
      <c r="GK712" s="9"/>
      <c r="GL712" s="9"/>
      <c r="GM712" s="9"/>
      <c r="GN712" s="9"/>
      <c r="GO712" s="9"/>
      <c r="GP712" s="9"/>
      <c r="GQ712" s="9"/>
    </row>
    <row r="713" spans="2:199" ht="15"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  <c r="EQ713" s="9"/>
      <c r="ER713" s="9"/>
      <c r="ES713" s="9"/>
      <c r="ET713" s="9"/>
      <c r="EU713" s="9"/>
      <c r="EV713" s="9"/>
      <c r="EW713" s="9"/>
      <c r="EX713" s="9"/>
      <c r="EY713" s="9"/>
      <c r="EZ713" s="9"/>
      <c r="FA713" s="9"/>
      <c r="FB713" s="9"/>
      <c r="FC713" s="9"/>
      <c r="FD713" s="9"/>
      <c r="FE713" s="9"/>
      <c r="FF713" s="9"/>
      <c r="FG713" s="9"/>
      <c r="FH713" s="9"/>
      <c r="FI713" s="9"/>
      <c r="FJ713" s="9"/>
      <c r="FK713" s="9"/>
      <c r="FL713" s="9"/>
      <c r="FM713" s="9"/>
      <c r="FN713" s="9"/>
      <c r="FO713" s="9"/>
      <c r="FP713" s="9"/>
      <c r="FQ713" s="9"/>
      <c r="FR713" s="9"/>
      <c r="FS713" s="9"/>
      <c r="FT713" s="9"/>
      <c r="FU713" s="9"/>
      <c r="FV713" s="9"/>
      <c r="FW713" s="9"/>
      <c r="FX713" s="9"/>
      <c r="FY713" s="9"/>
      <c r="FZ713" s="9"/>
      <c r="GA713" s="9"/>
      <c r="GB713" s="9"/>
      <c r="GC713" s="9"/>
      <c r="GD713" s="9"/>
      <c r="GE713" s="9"/>
      <c r="GF713" s="9"/>
      <c r="GG713" s="9"/>
      <c r="GH713" s="9"/>
      <c r="GI713" s="9"/>
      <c r="GJ713" s="9"/>
      <c r="GK713" s="9"/>
      <c r="GL713" s="9"/>
      <c r="GM713" s="9"/>
      <c r="GN713" s="9"/>
      <c r="GO713" s="9"/>
      <c r="GP713" s="9"/>
      <c r="GQ713" s="9"/>
    </row>
    <row r="714" spans="2:199" ht="15"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  <c r="EI714" s="9"/>
      <c r="EJ714" s="9"/>
      <c r="EK714" s="9"/>
      <c r="EL714" s="9"/>
      <c r="EM714" s="9"/>
      <c r="EN714" s="9"/>
      <c r="EO714" s="9"/>
      <c r="EP714" s="9"/>
      <c r="EQ714" s="9"/>
      <c r="ER714" s="9"/>
      <c r="ES714" s="9"/>
      <c r="ET714" s="9"/>
      <c r="EU714" s="9"/>
      <c r="EV714" s="9"/>
      <c r="EW714" s="9"/>
      <c r="EX714" s="9"/>
      <c r="EY714" s="9"/>
      <c r="EZ714" s="9"/>
      <c r="FA714" s="9"/>
      <c r="FB714" s="9"/>
      <c r="FC714" s="9"/>
      <c r="FD714" s="9"/>
      <c r="FE714" s="9"/>
      <c r="FF714" s="9"/>
      <c r="FG714" s="9"/>
      <c r="FH714" s="9"/>
      <c r="FI714" s="9"/>
      <c r="FJ714" s="9"/>
      <c r="FK714" s="9"/>
      <c r="FL714" s="9"/>
      <c r="FM714" s="9"/>
      <c r="FN714" s="9"/>
      <c r="FO714" s="9"/>
      <c r="FP714" s="9"/>
      <c r="FQ714" s="9"/>
      <c r="FR714" s="9"/>
      <c r="FS714" s="9"/>
      <c r="FT714" s="9"/>
      <c r="FU714" s="9"/>
      <c r="FV714" s="9"/>
      <c r="FW714" s="9"/>
      <c r="FX714" s="9"/>
      <c r="FY714" s="9"/>
      <c r="FZ714" s="9"/>
      <c r="GA714" s="9"/>
      <c r="GB714" s="9"/>
      <c r="GC714" s="9"/>
      <c r="GD714" s="9"/>
      <c r="GE714" s="9"/>
      <c r="GF714" s="9"/>
      <c r="GG714" s="9"/>
      <c r="GH714" s="9"/>
      <c r="GI714" s="9"/>
      <c r="GJ714" s="9"/>
      <c r="GK714" s="9"/>
      <c r="GL714" s="9"/>
      <c r="GM714" s="9"/>
      <c r="GN714" s="9"/>
      <c r="GO714" s="9"/>
      <c r="GP714" s="9"/>
      <c r="GQ714" s="9"/>
    </row>
    <row r="715" spans="2:199" ht="15"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  <c r="EP715" s="9"/>
      <c r="EQ715" s="9"/>
      <c r="ER715" s="9"/>
      <c r="ES715" s="9"/>
      <c r="ET715" s="9"/>
      <c r="EU715" s="9"/>
      <c r="EV715" s="9"/>
      <c r="EW715" s="9"/>
      <c r="EX715" s="9"/>
      <c r="EY715" s="9"/>
      <c r="EZ715" s="9"/>
      <c r="FA715" s="9"/>
      <c r="FB715" s="9"/>
      <c r="FC715" s="9"/>
      <c r="FD715" s="9"/>
      <c r="FE715" s="9"/>
      <c r="FF715" s="9"/>
      <c r="FG715" s="9"/>
      <c r="FH715" s="9"/>
      <c r="FI715" s="9"/>
      <c r="FJ715" s="9"/>
      <c r="FK715" s="9"/>
      <c r="FL715" s="9"/>
      <c r="FM715" s="9"/>
      <c r="FN715" s="9"/>
      <c r="FO715" s="9"/>
      <c r="FP715" s="9"/>
      <c r="FQ715" s="9"/>
      <c r="FR715" s="9"/>
      <c r="FS715" s="9"/>
      <c r="FT715" s="9"/>
      <c r="FU715" s="9"/>
      <c r="FV715" s="9"/>
      <c r="FW715" s="9"/>
      <c r="FX715" s="9"/>
      <c r="FY715" s="9"/>
      <c r="FZ715" s="9"/>
      <c r="GA715" s="9"/>
      <c r="GB715" s="9"/>
      <c r="GC715" s="9"/>
      <c r="GD715" s="9"/>
      <c r="GE715" s="9"/>
      <c r="GF715" s="9"/>
      <c r="GG715" s="9"/>
      <c r="GH715" s="9"/>
      <c r="GI715" s="9"/>
      <c r="GJ715" s="9"/>
      <c r="GK715" s="9"/>
      <c r="GL715" s="9"/>
      <c r="GM715" s="9"/>
      <c r="GN715" s="9"/>
      <c r="GO715" s="9"/>
      <c r="GP715" s="9"/>
      <c r="GQ715" s="9"/>
    </row>
    <row r="716" spans="2:199" ht="15"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  <c r="ER716" s="9"/>
      <c r="ES716" s="9"/>
      <c r="ET716" s="9"/>
      <c r="EU716" s="9"/>
      <c r="EV716" s="9"/>
      <c r="EW716" s="9"/>
      <c r="EX716" s="9"/>
      <c r="EY716" s="9"/>
      <c r="EZ716" s="9"/>
      <c r="FA716" s="9"/>
      <c r="FB716" s="9"/>
      <c r="FC716" s="9"/>
      <c r="FD716" s="9"/>
      <c r="FE716" s="9"/>
      <c r="FF716" s="9"/>
      <c r="FG716" s="9"/>
      <c r="FH716" s="9"/>
      <c r="FI716" s="9"/>
      <c r="FJ716" s="9"/>
      <c r="FK716" s="9"/>
      <c r="FL716" s="9"/>
      <c r="FM716" s="9"/>
      <c r="FN716" s="9"/>
      <c r="FO716" s="9"/>
      <c r="FP716" s="9"/>
      <c r="FQ716" s="9"/>
      <c r="FR716" s="9"/>
      <c r="FS716" s="9"/>
      <c r="FT716" s="9"/>
      <c r="FU716" s="9"/>
      <c r="FV716" s="9"/>
      <c r="FW716" s="9"/>
      <c r="FX716" s="9"/>
      <c r="FY716" s="9"/>
      <c r="FZ716" s="9"/>
      <c r="GA716" s="9"/>
      <c r="GB716" s="9"/>
      <c r="GC716" s="9"/>
      <c r="GD716" s="9"/>
      <c r="GE716" s="9"/>
      <c r="GF716" s="9"/>
      <c r="GG716" s="9"/>
      <c r="GH716" s="9"/>
      <c r="GI716" s="9"/>
      <c r="GJ716" s="9"/>
      <c r="GK716" s="9"/>
      <c r="GL716" s="9"/>
      <c r="GM716" s="9"/>
      <c r="GN716" s="9"/>
      <c r="GO716" s="9"/>
      <c r="GP716" s="9"/>
      <c r="GQ716" s="9"/>
    </row>
    <row r="717" spans="2:199" ht="15"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  <c r="EP717" s="9"/>
      <c r="EQ717" s="9"/>
      <c r="ER717" s="9"/>
      <c r="ES717" s="9"/>
      <c r="ET717" s="9"/>
      <c r="EU717" s="9"/>
      <c r="EV717" s="9"/>
      <c r="EW717" s="9"/>
      <c r="EX717" s="9"/>
      <c r="EY717" s="9"/>
      <c r="EZ717" s="9"/>
      <c r="FA717" s="9"/>
      <c r="FB717" s="9"/>
      <c r="FC717" s="9"/>
      <c r="FD717" s="9"/>
      <c r="FE717" s="9"/>
      <c r="FF717" s="9"/>
      <c r="FG717" s="9"/>
      <c r="FH717" s="9"/>
      <c r="FI717" s="9"/>
      <c r="FJ717" s="9"/>
      <c r="FK717" s="9"/>
      <c r="FL717" s="9"/>
      <c r="FM717" s="9"/>
      <c r="FN717" s="9"/>
      <c r="FO717" s="9"/>
      <c r="FP717" s="9"/>
      <c r="FQ717" s="9"/>
      <c r="FR717" s="9"/>
      <c r="FS717" s="9"/>
      <c r="FT717" s="9"/>
      <c r="FU717" s="9"/>
      <c r="FV717" s="9"/>
      <c r="FW717" s="9"/>
      <c r="FX717" s="9"/>
      <c r="FY717" s="9"/>
      <c r="FZ717" s="9"/>
      <c r="GA717" s="9"/>
      <c r="GB717" s="9"/>
      <c r="GC717" s="9"/>
      <c r="GD717" s="9"/>
      <c r="GE717" s="9"/>
      <c r="GF717" s="9"/>
      <c r="GG717" s="9"/>
      <c r="GH717" s="9"/>
      <c r="GI717" s="9"/>
      <c r="GJ717" s="9"/>
      <c r="GK717" s="9"/>
      <c r="GL717" s="9"/>
      <c r="GM717" s="9"/>
      <c r="GN717" s="9"/>
      <c r="GO717" s="9"/>
      <c r="GP717" s="9"/>
      <c r="GQ717" s="9"/>
    </row>
    <row r="718" spans="2:199" ht="15"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  <c r="ER718" s="9"/>
      <c r="ES718" s="9"/>
      <c r="ET718" s="9"/>
      <c r="EU718" s="9"/>
      <c r="EV718" s="9"/>
      <c r="EW718" s="9"/>
      <c r="EX718" s="9"/>
      <c r="EY718" s="9"/>
      <c r="EZ718" s="9"/>
      <c r="FA718" s="9"/>
      <c r="FB718" s="9"/>
      <c r="FC718" s="9"/>
      <c r="FD718" s="9"/>
      <c r="FE718" s="9"/>
      <c r="FF718" s="9"/>
      <c r="FG718" s="9"/>
      <c r="FH718" s="9"/>
      <c r="FI718" s="9"/>
      <c r="FJ718" s="9"/>
      <c r="FK718" s="9"/>
      <c r="FL718" s="9"/>
      <c r="FM718" s="9"/>
      <c r="FN718" s="9"/>
      <c r="FO718" s="9"/>
      <c r="FP718" s="9"/>
      <c r="FQ718" s="9"/>
      <c r="FR718" s="9"/>
      <c r="FS718" s="9"/>
      <c r="FT718" s="9"/>
      <c r="FU718" s="9"/>
      <c r="FV718" s="9"/>
      <c r="FW718" s="9"/>
      <c r="FX718" s="9"/>
      <c r="FY718" s="9"/>
      <c r="FZ718" s="9"/>
      <c r="GA718" s="9"/>
      <c r="GB718" s="9"/>
      <c r="GC718" s="9"/>
      <c r="GD718" s="9"/>
      <c r="GE718" s="9"/>
      <c r="GF718" s="9"/>
      <c r="GG718" s="9"/>
      <c r="GH718" s="9"/>
      <c r="GI718" s="9"/>
      <c r="GJ718" s="9"/>
      <c r="GK718" s="9"/>
      <c r="GL718" s="9"/>
      <c r="GM718" s="9"/>
      <c r="GN718" s="9"/>
      <c r="GO718" s="9"/>
      <c r="GP718" s="9"/>
      <c r="GQ718" s="9"/>
    </row>
    <row r="719" spans="2:199" ht="15"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  <c r="EP719" s="9"/>
      <c r="EQ719" s="9"/>
      <c r="ER719" s="9"/>
      <c r="ES719" s="9"/>
      <c r="ET719" s="9"/>
      <c r="EU719" s="9"/>
      <c r="EV719" s="9"/>
      <c r="EW719" s="9"/>
      <c r="EX719" s="9"/>
      <c r="EY719" s="9"/>
      <c r="EZ719" s="9"/>
      <c r="FA719" s="9"/>
      <c r="FB719" s="9"/>
      <c r="FC719" s="9"/>
      <c r="FD719" s="9"/>
      <c r="FE719" s="9"/>
      <c r="FF719" s="9"/>
      <c r="FG719" s="9"/>
      <c r="FH719" s="9"/>
      <c r="FI719" s="9"/>
      <c r="FJ719" s="9"/>
      <c r="FK719" s="9"/>
      <c r="FL719" s="9"/>
      <c r="FM719" s="9"/>
      <c r="FN719" s="9"/>
      <c r="FO719" s="9"/>
      <c r="FP719" s="9"/>
      <c r="FQ719" s="9"/>
      <c r="FR719" s="9"/>
      <c r="FS719" s="9"/>
      <c r="FT719" s="9"/>
      <c r="FU719" s="9"/>
      <c r="FV719" s="9"/>
      <c r="FW719" s="9"/>
      <c r="FX719" s="9"/>
      <c r="FY719" s="9"/>
      <c r="FZ719" s="9"/>
      <c r="GA719" s="9"/>
      <c r="GB719" s="9"/>
      <c r="GC719" s="9"/>
      <c r="GD719" s="9"/>
      <c r="GE719" s="9"/>
      <c r="GF719" s="9"/>
      <c r="GG719" s="9"/>
      <c r="GH719" s="9"/>
      <c r="GI719" s="9"/>
      <c r="GJ719" s="9"/>
      <c r="GK719" s="9"/>
      <c r="GL719" s="9"/>
      <c r="GM719" s="9"/>
      <c r="GN719" s="9"/>
      <c r="GO719" s="9"/>
      <c r="GP719" s="9"/>
      <c r="GQ719" s="9"/>
    </row>
    <row r="720" spans="2:199" ht="15"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  <c r="EO720" s="9"/>
      <c r="EP720" s="9"/>
      <c r="EQ720" s="9"/>
      <c r="ER720" s="9"/>
      <c r="ES720" s="9"/>
      <c r="ET720" s="9"/>
      <c r="EU720" s="9"/>
      <c r="EV720" s="9"/>
      <c r="EW720" s="9"/>
      <c r="EX720" s="9"/>
      <c r="EY720" s="9"/>
      <c r="EZ720" s="9"/>
      <c r="FA720" s="9"/>
      <c r="FB720" s="9"/>
      <c r="FC720" s="9"/>
      <c r="FD720" s="9"/>
      <c r="FE720" s="9"/>
      <c r="FF720" s="9"/>
      <c r="FG720" s="9"/>
      <c r="FH720" s="9"/>
      <c r="FI720" s="9"/>
      <c r="FJ720" s="9"/>
      <c r="FK720" s="9"/>
      <c r="FL720" s="9"/>
      <c r="FM720" s="9"/>
      <c r="FN720" s="9"/>
      <c r="FO720" s="9"/>
      <c r="FP720" s="9"/>
      <c r="FQ720" s="9"/>
      <c r="FR720" s="9"/>
      <c r="FS720" s="9"/>
      <c r="FT720" s="9"/>
      <c r="FU720" s="9"/>
      <c r="FV720" s="9"/>
      <c r="FW720" s="9"/>
      <c r="FX720" s="9"/>
      <c r="FY720" s="9"/>
      <c r="FZ720" s="9"/>
      <c r="GA720" s="9"/>
      <c r="GB720" s="9"/>
      <c r="GC720" s="9"/>
      <c r="GD720" s="9"/>
      <c r="GE720" s="9"/>
      <c r="GF720" s="9"/>
      <c r="GG720" s="9"/>
      <c r="GH720" s="9"/>
      <c r="GI720" s="9"/>
      <c r="GJ720" s="9"/>
      <c r="GK720" s="9"/>
      <c r="GL720" s="9"/>
      <c r="GM720" s="9"/>
      <c r="GN720" s="9"/>
      <c r="GO720" s="9"/>
      <c r="GP720" s="9"/>
      <c r="GQ720" s="9"/>
    </row>
    <row r="721" spans="2:199" ht="15"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  <c r="EM721" s="9"/>
      <c r="EN721" s="9"/>
      <c r="EO721" s="9"/>
      <c r="EP721" s="9"/>
      <c r="EQ721" s="9"/>
      <c r="ER721" s="9"/>
      <c r="ES721" s="9"/>
      <c r="ET721" s="9"/>
      <c r="EU721" s="9"/>
      <c r="EV721" s="9"/>
      <c r="EW721" s="9"/>
      <c r="EX721" s="9"/>
      <c r="EY721" s="9"/>
      <c r="EZ721" s="9"/>
      <c r="FA721" s="9"/>
      <c r="FB721" s="9"/>
      <c r="FC721" s="9"/>
      <c r="FD721" s="9"/>
      <c r="FE721" s="9"/>
      <c r="FF721" s="9"/>
      <c r="FG721" s="9"/>
      <c r="FH721" s="9"/>
      <c r="FI721" s="9"/>
      <c r="FJ721" s="9"/>
      <c r="FK721" s="9"/>
      <c r="FL721" s="9"/>
      <c r="FM721" s="9"/>
      <c r="FN721" s="9"/>
      <c r="FO721" s="9"/>
      <c r="FP721" s="9"/>
      <c r="FQ721" s="9"/>
      <c r="FR721" s="9"/>
      <c r="FS721" s="9"/>
      <c r="FT721" s="9"/>
      <c r="FU721" s="9"/>
      <c r="FV721" s="9"/>
      <c r="FW721" s="9"/>
      <c r="FX721" s="9"/>
      <c r="FY721" s="9"/>
      <c r="FZ721" s="9"/>
      <c r="GA721" s="9"/>
      <c r="GB721" s="9"/>
      <c r="GC721" s="9"/>
      <c r="GD721" s="9"/>
      <c r="GE721" s="9"/>
      <c r="GF721" s="9"/>
      <c r="GG721" s="9"/>
      <c r="GH721" s="9"/>
      <c r="GI721" s="9"/>
      <c r="GJ721" s="9"/>
      <c r="GK721" s="9"/>
      <c r="GL721" s="9"/>
      <c r="GM721" s="9"/>
      <c r="GN721" s="9"/>
      <c r="GO721" s="9"/>
      <c r="GP721" s="9"/>
      <c r="GQ721" s="9"/>
    </row>
    <row r="722" spans="2:199" ht="15"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  <c r="EM722" s="9"/>
      <c r="EN722" s="9"/>
      <c r="EO722" s="9"/>
      <c r="EP722" s="9"/>
      <c r="EQ722" s="9"/>
      <c r="ER722" s="9"/>
      <c r="ES722" s="9"/>
      <c r="ET722" s="9"/>
      <c r="EU722" s="9"/>
      <c r="EV722" s="9"/>
      <c r="EW722" s="9"/>
      <c r="EX722" s="9"/>
      <c r="EY722" s="9"/>
      <c r="EZ722" s="9"/>
      <c r="FA722" s="9"/>
      <c r="FB722" s="9"/>
      <c r="FC722" s="9"/>
      <c r="FD722" s="9"/>
      <c r="FE722" s="9"/>
      <c r="FF722" s="9"/>
      <c r="FG722" s="9"/>
      <c r="FH722" s="9"/>
      <c r="FI722" s="9"/>
      <c r="FJ722" s="9"/>
      <c r="FK722" s="9"/>
      <c r="FL722" s="9"/>
      <c r="FM722" s="9"/>
      <c r="FN722" s="9"/>
      <c r="FO722" s="9"/>
      <c r="FP722" s="9"/>
      <c r="FQ722" s="9"/>
      <c r="FR722" s="9"/>
      <c r="FS722" s="9"/>
      <c r="FT722" s="9"/>
      <c r="FU722" s="9"/>
      <c r="FV722" s="9"/>
      <c r="FW722" s="9"/>
      <c r="FX722" s="9"/>
      <c r="FY722" s="9"/>
      <c r="FZ722" s="9"/>
      <c r="GA722" s="9"/>
      <c r="GB722" s="9"/>
      <c r="GC722" s="9"/>
      <c r="GD722" s="9"/>
      <c r="GE722" s="9"/>
      <c r="GF722" s="9"/>
      <c r="GG722" s="9"/>
      <c r="GH722" s="9"/>
      <c r="GI722" s="9"/>
      <c r="GJ722" s="9"/>
      <c r="GK722" s="9"/>
      <c r="GL722" s="9"/>
      <c r="GM722" s="9"/>
      <c r="GN722" s="9"/>
      <c r="GO722" s="9"/>
      <c r="GP722" s="9"/>
      <c r="GQ722" s="9"/>
    </row>
    <row r="723" spans="2:199" ht="15"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  <c r="EH723" s="9"/>
      <c r="EI723" s="9"/>
      <c r="EJ723" s="9"/>
      <c r="EK723" s="9"/>
      <c r="EL723" s="9"/>
      <c r="EM723" s="9"/>
      <c r="EN723" s="9"/>
      <c r="EO723" s="9"/>
      <c r="EP723" s="9"/>
      <c r="EQ723" s="9"/>
      <c r="ER723" s="9"/>
      <c r="ES723" s="9"/>
      <c r="ET723" s="9"/>
      <c r="EU723" s="9"/>
      <c r="EV723" s="9"/>
      <c r="EW723" s="9"/>
      <c r="EX723" s="9"/>
      <c r="EY723" s="9"/>
      <c r="EZ723" s="9"/>
      <c r="FA723" s="9"/>
      <c r="FB723" s="9"/>
      <c r="FC723" s="9"/>
      <c r="FD723" s="9"/>
      <c r="FE723" s="9"/>
      <c r="FF723" s="9"/>
      <c r="FG723" s="9"/>
      <c r="FH723" s="9"/>
      <c r="FI723" s="9"/>
      <c r="FJ723" s="9"/>
      <c r="FK723" s="9"/>
      <c r="FL723" s="9"/>
      <c r="FM723" s="9"/>
      <c r="FN723" s="9"/>
      <c r="FO723" s="9"/>
      <c r="FP723" s="9"/>
      <c r="FQ723" s="9"/>
      <c r="FR723" s="9"/>
      <c r="FS723" s="9"/>
      <c r="FT723" s="9"/>
      <c r="FU723" s="9"/>
      <c r="FV723" s="9"/>
      <c r="FW723" s="9"/>
      <c r="FX723" s="9"/>
      <c r="FY723" s="9"/>
      <c r="FZ723" s="9"/>
      <c r="GA723" s="9"/>
      <c r="GB723" s="9"/>
      <c r="GC723" s="9"/>
      <c r="GD723" s="9"/>
      <c r="GE723" s="9"/>
      <c r="GF723" s="9"/>
      <c r="GG723" s="9"/>
      <c r="GH723" s="9"/>
      <c r="GI723" s="9"/>
      <c r="GJ723" s="9"/>
      <c r="GK723" s="9"/>
      <c r="GL723" s="9"/>
      <c r="GM723" s="9"/>
      <c r="GN723" s="9"/>
      <c r="GO723" s="9"/>
      <c r="GP723" s="9"/>
      <c r="GQ723" s="9"/>
    </row>
    <row r="724" spans="2:199" ht="15"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  <c r="EI724" s="9"/>
      <c r="EJ724" s="9"/>
      <c r="EK724" s="9"/>
      <c r="EL724" s="9"/>
      <c r="EM724" s="9"/>
      <c r="EN724" s="9"/>
      <c r="EO724" s="9"/>
      <c r="EP724" s="9"/>
      <c r="EQ724" s="9"/>
      <c r="ER724" s="9"/>
      <c r="ES724" s="9"/>
      <c r="ET724" s="9"/>
      <c r="EU724" s="9"/>
      <c r="EV724" s="9"/>
      <c r="EW724" s="9"/>
      <c r="EX724" s="9"/>
      <c r="EY724" s="9"/>
      <c r="EZ724" s="9"/>
      <c r="FA724" s="9"/>
      <c r="FB724" s="9"/>
      <c r="FC724" s="9"/>
      <c r="FD724" s="9"/>
      <c r="FE724" s="9"/>
      <c r="FF724" s="9"/>
      <c r="FG724" s="9"/>
      <c r="FH724" s="9"/>
      <c r="FI724" s="9"/>
      <c r="FJ724" s="9"/>
      <c r="FK724" s="9"/>
      <c r="FL724" s="9"/>
      <c r="FM724" s="9"/>
      <c r="FN724" s="9"/>
      <c r="FO724" s="9"/>
      <c r="FP724" s="9"/>
      <c r="FQ724" s="9"/>
      <c r="FR724" s="9"/>
      <c r="FS724" s="9"/>
      <c r="FT724" s="9"/>
      <c r="FU724" s="9"/>
      <c r="FV724" s="9"/>
      <c r="FW724" s="9"/>
      <c r="FX724" s="9"/>
      <c r="FY724" s="9"/>
      <c r="FZ724" s="9"/>
      <c r="GA724" s="9"/>
      <c r="GB724" s="9"/>
      <c r="GC724" s="9"/>
      <c r="GD724" s="9"/>
      <c r="GE724" s="9"/>
      <c r="GF724" s="9"/>
      <c r="GG724" s="9"/>
      <c r="GH724" s="9"/>
      <c r="GI724" s="9"/>
      <c r="GJ724" s="9"/>
      <c r="GK724" s="9"/>
      <c r="GL724" s="9"/>
      <c r="GM724" s="9"/>
      <c r="GN724" s="9"/>
      <c r="GO724" s="9"/>
      <c r="GP724" s="9"/>
      <c r="GQ724" s="9"/>
    </row>
    <row r="725" spans="2:199" ht="15"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  <c r="EI725" s="9"/>
      <c r="EJ725" s="9"/>
      <c r="EK725" s="9"/>
      <c r="EL725" s="9"/>
      <c r="EM725" s="9"/>
      <c r="EN725" s="9"/>
      <c r="EO725" s="9"/>
      <c r="EP725" s="9"/>
      <c r="EQ725" s="9"/>
      <c r="ER725" s="9"/>
      <c r="ES725" s="9"/>
      <c r="ET725" s="9"/>
      <c r="EU725" s="9"/>
      <c r="EV725" s="9"/>
      <c r="EW725" s="9"/>
      <c r="EX725" s="9"/>
      <c r="EY725" s="9"/>
      <c r="EZ725" s="9"/>
      <c r="FA725" s="9"/>
      <c r="FB725" s="9"/>
      <c r="FC725" s="9"/>
      <c r="FD725" s="9"/>
      <c r="FE725" s="9"/>
      <c r="FF725" s="9"/>
      <c r="FG725" s="9"/>
      <c r="FH725" s="9"/>
      <c r="FI725" s="9"/>
      <c r="FJ725" s="9"/>
      <c r="FK725" s="9"/>
      <c r="FL725" s="9"/>
      <c r="FM725" s="9"/>
      <c r="FN725" s="9"/>
      <c r="FO725" s="9"/>
      <c r="FP725" s="9"/>
      <c r="FQ725" s="9"/>
      <c r="FR725" s="9"/>
      <c r="FS725" s="9"/>
      <c r="FT725" s="9"/>
      <c r="FU725" s="9"/>
      <c r="FV725" s="9"/>
      <c r="FW725" s="9"/>
      <c r="FX725" s="9"/>
      <c r="FY725" s="9"/>
      <c r="FZ725" s="9"/>
      <c r="GA725" s="9"/>
      <c r="GB725" s="9"/>
      <c r="GC725" s="9"/>
      <c r="GD725" s="9"/>
      <c r="GE725" s="9"/>
      <c r="GF725" s="9"/>
      <c r="GG725" s="9"/>
      <c r="GH725" s="9"/>
      <c r="GI725" s="9"/>
      <c r="GJ725" s="9"/>
      <c r="GK725" s="9"/>
      <c r="GL725" s="9"/>
      <c r="GM725" s="9"/>
      <c r="GN725" s="9"/>
      <c r="GO725" s="9"/>
      <c r="GP725" s="9"/>
      <c r="GQ725" s="9"/>
    </row>
    <row r="726" spans="2:199" ht="15"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  <c r="EO726" s="9"/>
      <c r="EP726" s="9"/>
      <c r="EQ726" s="9"/>
      <c r="ER726" s="9"/>
      <c r="ES726" s="9"/>
      <c r="ET726" s="9"/>
      <c r="EU726" s="9"/>
      <c r="EV726" s="9"/>
      <c r="EW726" s="9"/>
      <c r="EX726" s="9"/>
      <c r="EY726" s="9"/>
      <c r="EZ726" s="9"/>
      <c r="FA726" s="9"/>
      <c r="FB726" s="9"/>
      <c r="FC726" s="9"/>
      <c r="FD726" s="9"/>
      <c r="FE726" s="9"/>
      <c r="FF726" s="9"/>
      <c r="FG726" s="9"/>
      <c r="FH726" s="9"/>
      <c r="FI726" s="9"/>
      <c r="FJ726" s="9"/>
      <c r="FK726" s="9"/>
      <c r="FL726" s="9"/>
      <c r="FM726" s="9"/>
      <c r="FN726" s="9"/>
      <c r="FO726" s="9"/>
      <c r="FP726" s="9"/>
      <c r="FQ726" s="9"/>
      <c r="FR726" s="9"/>
      <c r="FS726" s="9"/>
      <c r="FT726" s="9"/>
      <c r="FU726" s="9"/>
      <c r="FV726" s="9"/>
      <c r="FW726" s="9"/>
      <c r="FX726" s="9"/>
      <c r="FY726" s="9"/>
      <c r="FZ726" s="9"/>
      <c r="GA726" s="9"/>
      <c r="GB726" s="9"/>
      <c r="GC726" s="9"/>
      <c r="GD726" s="9"/>
      <c r="GE726" s="9"/>
      <c r="GF726" s="9"/>
      <c r="GG726" s="9"/>
      <c r="GH726" s="9"/>
      <c r="GI726" s="9"/>
      <c r="GJ726" s="9"/>
      <c r="GK726" s="9"/>
      <c r="GL726" s="9"/>
      <c r="GM726" s="9"/>
      <c r="GN726" s="9"/>
      <c r="GO726" s="9"/>
      <c r="GP726" s="9"/>
      <c r="GQ726" s="9"/>
    </row>
    <row r="727" spans="2:199" ht="15"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  <c r="EH727" s="9"/>
      <c r="EI727" s="9"/>
      <c r="EJ727" s="9"/>
      <c r="EK727" s="9"/>
      <c r="EL727" s="9"/>
      <c r="EM727" s="9"/>
      <c r="EN727" s="9"/>
      <c r="EO727" s="9"/>
      <c r="EP727" s="9"/>
      <c r="EQ727" s="9"/>
      <c r="ER727" s="9"/>
      <c r="ES727" s="9"/>
      <c r="ET727" s="9"/>
      <c r="EU727" s="9"/>
      <c r="EV727" s="9"/>
      <c r="EW727" s="9"/>
      <c r="EX727" s="9"/>
      <c r="EY727" s="9"/>
      <c r="EZ727" s="9"/>
      <c r="FA727" s="9"/>
      <c r="FB727" s="9"/>
      <c r="FC727" s="9"/>
      <c r="FD727" s="9"/>
      <c r="FE727" s="9"/>
      <c r="FF727" s="9"/>
      <c r="FG727" s="9"/>
      <c r="FH727" s="9"/>
      <c r="FI727" s="9"/>
      <c r="FJ727" s="9"/>
      <c r="FK727" s="9"/>
      <c r="FL727" s="9"/>
      <c r="FM727" s="9"/>
      <c r="FN727" s="9"/>
      <c r="FO727" s="9"/>
      <c r="FP727" s="9"/>
      <c r="FQ727" s="9"/>
      <c r="FR727" s="9"/>
      <c r="FS727" s="9"/>
      <c r="FT727" s="9"/>
      <c r="FU727" s="9"/>
      <c r="FV727" s="9"/>
      <c r="FW727" s="9"/>
      <c r="FX727" s="9"/>
      <c r="FY727" s="9"/>
      <c r="FZ727" s="9"/>
      <c r="GA727" s="9"/>
      <c r="GB727" s="9"/>
      <c r="GC727" s="9"/>
      <c r="GD727" s="9"/>
      <c r="GE727" s="9"/>
      <c r="GF727" s="9"/>
      <c r="GG727" s="9"/>
      <c r="GH727" s="9"/>
      <c r="GI727" s="9"/>
      <c r="GJ727" s="9"/>
      <c r="GK727" s="9"/>
      <c r="GL727" s="9"/>
      <c r="GM727" s="9"/>
      <c r="GN727" s="9"/>
      <c r="GO727" s="9"/>
      <c r="GP727" s="9"/>
      <c r="GQ727" s="9"/>
    </row>
    <row r="728" spans="2:199" ht="15"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  <c r="EH728" s="9"/>
      <c r="EI728" s="9"/>
      <c r="EJ728" s="9"/>
      <c r="EK728" s="9"/>
      <c r="EL728" s="9"/>
      <c r="EM728" s="9"/>
      <c r="EN728" s="9"/>
      <c r="EO728" s="9"/>
      <c r="EP728" s="9"/>
      <c r="EQ728" s="9"/>
      <c r="ER728" s="9"/>
      <c r="ES728" s="9"/>
      <c r="ET728" s="9"/>
      <c r="EU728" s="9"/>
      <c r="EV728" s="9"/>
      <c r="EW728" s="9"/>
      <c r="EX728" s="9"/>
      <c r="EY728" s="9"/>
      <c r="EZ728" s="9"/>
      <c r="FA728" s="9"/>
      <c r="FB728" s="9"/>
      <c r="FC728" s="9"/>
      <c r="FD728" s="9"/>
      <c r="FE728" s="9"/>
      <c r="FF728" s="9"/>
      <c r="FG728" s="9"/>
      <c r="FH728" s="9"/>
      <c r="FI728" s="9"/>
      <c r="FJ728" s="9"/>
      <c r="FK728" s="9"/>
      <c r="FL728" s="9"/>
      <c r="FM728" s="9"/>
      <c r="FN728" s="9"/>
      <c r="FO728" s="9"/>
      <c r="FP728" s="9"/>
      <c r="FQ728" s="9"/>
      <c r="FR728" s="9"/>
      <c r="FS728" s="9"/>
      <c r="FT728" s="9"/>
      <c r="FU728" s="9"/>
      <c r="FV728" s="9"/>
      <c r="FW728" s="9"/>
      <c r="FX728" s="9"/>
      <c r="FY728" s="9"/>
      <c r="FZ728" s="9"/>
      <c r="GA728" s="9"/>
      <c r="GB728" s="9"/>
      <c r="GC728" s="9"/>
      <c r="GD728" s="9"/>
      <c r="GE728" s="9"/>
      <c r="GF728" s="9"/>
      <c r="GG728" s="9"/>
      <c r="GH728" s="9"/>
      <c r="GI728" s="9"/>
      <c r="GJ728" s="9"/>
      <c r="GK728" s="9"/>
      <c r="GL728" s="9"/>
      <c r="GM728" s="9"/>
      <c r="GN728" s="9"/>
      <c r="GO728" s="9"/>
      <c r="GP728" s="9"/>
      <c r="GQ728" s="9"/>
    </row>
    <row r="729" spans="2:199" ht="15"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/>
      <c r="EG729" s="9"/>
      <c r="EH729" s="9"/>
      <c r="EI729" s="9"/>
      <c r="EJ729" s="9"/>
      <c r="EK729" s="9"/>
      <c r="EL729" s="9"/>
      <c r="EM729" s="9"/>
      <c r="EN729" s="9"/>
      <c r="EO729" s="9"/>
      <c r="EP729" s="9"/>
      <c r="EQ729" s="9"/>
      <c r="ER729" s="9"/>
      <c r="ES729" s="9"/>
      <c r="ET729" s="9"/>
      <c r="EU729" s="9"/>
      <c r="EV729" s="9"/>
      <c r="EW729" s="9"/>
      <c r="EX729" s="9"/>
      <c r="EY729" s="9"/>
      <c r="EZ729" s="9"/>
      <c r="FA729" s="9"/>
      <c r="FB729" s="9"/>
      <c r="FC729" s="9"/>
      <c r="FD729" s="9"/>
      <c r="FE729" s="9"/>
      <c r="FF729" s="9"/>
      <c r="FG729" s="9"/>
      <c r="FH729" s="9"/>
      <c r="FI729" s="9"/>
      <c r="FJ729" s="9"/>
      <c r="FK729" s="9"/>
      <c r="FL729" s="9"/>
      <c r="FM729" s="9"/>
      <c r="FN729" s="9"/>
      <c r="FO729" s="9"/>
      <c r="FP729" s="9"/>
      <c r="FQ729" s="9"/>
      <c r="FR729" s="9"/>
      <c r="FS729" s="9"/>
      <c r="FT729" s="9"/>
      <c r="FU729" s="9"/>
      <c r="FV729" s="9"/>
      <c r="FW729" s="9"/>
      <c r="FX729" s="9"/>
      <c r="FY729" s="9"/>
      <c r="FZ729" s="9"/>
      <c r="GA729" s="9"/>
      <c r="GB729" s="9"/>
      <c r="GC729" s="9"/>
      <c r="GD729" s="9"/>
      <c r="GE729" s="9"/>
      <c r="GF729" s="9"/>
      <c r="GG729" s="9"/>
      <c r="GH729" s="9"/>
      <c r="GI729" s="9"/>
      <c r="GJ729" s="9"/>
      <c r="GK729" s="9"/>
      <c r="GL729" s="9"/>
      <c r="GM729" s="9"/>
      <c r="GN729" s="9"/>
      <c r="GO729" s="9"/>
      <c r="GP729" s="9"/>
      <c r="GQ729" s="9"/>
    </row>
    <row r="730" spans="2:199" ht="15"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  <c r="EF730" s="9"/>
      <c r="EG730" s="9"/>
      <c r="EH730" s="9"/>
      <c r="EI730" s="9"/>
      <c r="EJ730" s="9"/>
      <c r="EK730" s="9"/>
      <c r="EL730" s="9"/>
      <c r="EM730" s="9"/>
      <c r="EN730" s="9"/>
      <c r="EO730" s="9"/>
      <c r="EP730" s="9"/>
      <c r="EQ730" s="9"/>
      <c r="ER730" s="9"/>
      <c r="ES730" s="9"/>
      <c r="ET730" s="9"/>
      <c r="EU730" s="9"/>
      <c r="EV730" s="9"/>
      <c r="EW730" s="9"/>
      <c r="EX730" s="9"/>
      <c r="EY730" s="9"/>
      <c r="EZ730" s="9"/>
      <c r="FA730" s="9"/>
      <c r="FB730" s="9"/>
      <c r="FC730" s="9"/>
      <c r="FD730" s="9"/>
      <c r="FE730" s="9"/>
      <c r="FF730" s="9"/>
      <c r="FG730" s="9"/>
      <c r="FH730" s="9"/>
      <c r="FI730" s="9"/>
      <c r="FJ730" s="9"/>
      <c r="FK730" s="9"/>
      <c r="FL730" s="9"/>
      <c r="FM730" s="9"/>
      <c r="FN730" s="9"/>
      <c r="FO730" s="9"/>
      <c r="FP730" s="9"/>
      <c r="FQ730" s="9"/>
      <c r="FR730" s="9"/>
      <c r="FS730" s="9"/>
      <c r="FT730" s="9"/>
      <c r="FU730" s="9"/>
      <c r="FV730" s="9"/>
      <c r="FW730" s="9"/>
      <c r="FX730" s="9"/>
      <c r="FY730" s="9"/>
      <c r="FZ730" s="9"/>
      <c r="GA730" s="9"/>
      <c r="GB730" s="9"/>
      <c r="GC730" s="9"/>
      <c r="GD730" s="9"/>
      <c r="GE730" s="9"/>
      <c r="GF730" s="9"/>
      <c r="GG730" s="9"/>
      <c r="GH730" s="9"/>
      <c r="GI730" s="9"/>
      <c r="GJ730" s="9"/>
      <c r="GK730" s="9"/>
      <c r="GL730" s="9"/>
      <c r="GM730" s="9"/>
      <c r="GN730" s="9"/>
      <c r="GO730" s="9"/>
      <c r="GP730" s="9"/>
      <c r="GQ730" s="9"/>
    </row>
    <row r="731" spans="2:199" ht="15"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  <c r="EH731" s="9"/>
      <c r="EI731" s="9"/>
      <c r="EJ731" s="9"/>
      <c r="EK731" s="9"/>
      <c r="EL731" s="9"/>
      <c r="EM731" s="9"/>
      <c r="EN731" s="9"/>
      <c r="EO731" s="9"/>
      <c r="EP731" s="9"/>
      <c r="EQ731" s="9"/>
      <c r="ER731" s="9"/>
      <c r="ES731" s="9"/>
      <c r="ET731" s="9"/>
      <c r="EU731" s="9"/>
      <c r="EV731" s="9"/>
      <c r="EW731" s="9"/>
      <c r="EX731" s="9"/>
      <c r="EY731" s="9"/>
      <c r="EZ731" s="9"/>
      <c r="FA731" s="9"/>
      <c r="FB731" s="9"/>
      <c r="FC731" s="9"/>
      <c r="FD731" s="9"/>
      <c r="FE731" s="9"/>
      <c r="FF731" s="9"/>
      <c r="FG731" s="9"/>
      <c r="FH731" s="9"/>
      <c r="FI731" s="9"/>
      <c r="FJ731" s="9"/>
      <c r="FK731" s="9"/>
      <c r="FL731" s="9"/>
      <c r="FM731" s="9"/>
      <c r="FN731" s="9"/>
      <c r="FO731" s="9"/>
      <c r="FP731" s="9"/>
      <c r="FQ731" s="9"/>
      <c r="FR731" s="9"/>
      <c r="FS731" s="9"/>
      <c r="FT731" s="9"/>
      <c r="FU731" s="9"/>
      <c r="FV731" s="9"/>
      <c r="FW731" s="9"/>
      <c r="FX731" s="9"/>
      <c r="FY731" s="9"/>
      <c r="FZ731" s="9"/>
      <c r="GA731" s="9"/>
      <c r="GB731" s="9"/>
      <c r="GC731" s="9"/>
      <c r="GD731" s="9"/>
      <c r="GE731" s="9"/>
      <c r="GF731" s="9"/>
      <c r="GG731" s="9"/>
      <c r="GH731" s="9"/>
      <c r="GI731" s="9"/>
      <c r="GJ731" s="9"/>
      <c r="GK731" s="9"/>
      <c r="GL731" s="9"/>
      <c r="GM731" s="9"/>
      <c r="GN731" s="9"/>
      <c r="GO731" s="9"/>
      <c r="GP731" s="9"/>
      <c r="GQ731" s="9"/>
    </row>
    <row r="732" spans="2:199" ht="15"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  <c r="EH732" s="9"/>
      <c r="EI732" s="9"/>
      <c r="EJ732" s="9"/>
      <c r="EK732" s="9"/>
      <c r="EL732" s="9"/>
      <c r="EM732" s="9"/>
      <c r="EN732" s="9"/>
      <c r="EO732" s="9"/>
      <c r="EP732" s="9"/>
      <c r="EQ732" s="9"/>
      <c r="ER732" s="9"/>
      <c r="ES732" s="9"/>
      <c r="ET732" s="9"/>
      <c r="EU732" s="9"/>
      <c r="EV732" s="9"/>
      <c r="EW732" s="9"/>
      <c r="EX732" s="9"/>
      <c r="EY732" s="9"/>
      <c r="EZ732" s="9"/>
      <c r="FA732" s="9"/>
      <c r="FB732" s="9"/>
      <c r="FC732" s="9"/>
      <c r="FD732" s="9"/>
      <c r="FE732" s="9"/>
      <c r="FF732" s="9"/>
      <c r="FG732" s="9"/>
      <c r="FH732" s="9"/>
      <c r="FI732" s="9"/>
      <c r="FJ732" s="9"/>
      <c r="FK732" s="9"/>
      <c r="FL732" s="9"/>
      <c r="FM732" s="9"/>
      <c r="FN732" s="9"/>
      <c r="FO732" s="9"/>
      <c r="FP732" s="9"/>
      <c r="FQ732" s="9"/>
      <c r="FR732" s="9"/>
      <c r="FS732" s="9"/>
      <c r="FT732" s="9"/>
      <c r="FU732" s="9"/>
      <c r="FV732" s="9"/>
      <c r="FW732" s="9"/>
      <c r="FX732" s="9"/>
      <c r="FY732" s="9"/>
      <c r="FZ732" s="9"/>
      <c r="GA732" s="9"/>
      <c r="GB732" s="9"/>
      <c r="GC732" s="9"/>
      <c r="GD732" s="9"/>
      <c r="GE732" s="9"/>
      <c r="GF732" s="9"/>
      <c r="GG732" s="9"/>
      <c r="GH732" s="9"/>
      <c r="GI732" s="9"/>
      <c r="GJ732" s="9"/>
      <c r="GK732" s="9"/>
      <c r="GL732" s="9"/>
      <c r="GM732" s="9"/>
      <c r="GN732" s="9"/>
      <c r="GO732" s="9"/>
      <c r="GP732" s="9"/>
      <c r="GQ732" s="9"/>
    </row>
    <row r="733" spans="2:199" ht="15"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  <c r="EI733" s="9"/>
      <c r="EJ733" s="9"/>
      <c r="EK733" s="9"/>
      <c r="EL733" s="9"/>
      <c r="EM733" s="9"/>
      <c r="EN733" s="9"/>
      <c r="EO733" s="9"/>
      <c r="EP733" s="9"/>
      <c r="EQ733" s="9"/>
      <c r="ER733" s="9"/>
      <c r="ES733" s="9"/>
      <c r="ET733" s="9"/>
      <c r="EU733" s="9"/>
      <c r="EV733" s="9"/>
      <c r="EW733" s="9"/>
      <c r="EX733" s="9"/>
      <c r="EY733" s="9"/>
      <c r="EZ733" s="9"/>
      <c r="FA733" s="9"/>
      <c r="FB733" s="9"/>
      <c r="FC733" s="9"/>
      <c r="FD733" s="9"/>
      <c r="FE733" s="9"/>
      <c r="FF733" s="9"/>
      <c r="FG733" s="9"/>
      <c r="FH733" s="9"/>
      <c r="FI733" s="9"/>
      <c r="FJ733" s="9"/>
      <c r="FK733" s="9"/>
      <c r="FL733" s="9"/>
      <c r="FM733" s="9"/>
      <c r="FN733" s="9"/>
      <c r="FO733" s="9"/>
      <c r="FP733" s="9"/>
      <c r="FQ733" s="9"/>
      <c r="FR733" s="9"/>
      <c r="FS733" s="9"/>
      <c r="FT733" s="9"/>
      <c r="FU733" s="9"/>
      <c r="FV733" s="9"/>
      <c r="FW733" s="9"/>
      <c r="FX733" s="9"/>
      <c r="FY733" s="9"/>
      <c r="FZ733" s="9"/>
      <c r="GA733" s="9"/>
      <c r="GB733" s="9"/>
      <c r="GC733" s="9"/>
      <c r="GD733" s="9"/>
      <c r="GE733" s="9"/>
      <c r="GF733" s="9"/>
      <c r="GG733" s="9"/>
      <c r="GH733" s="9"/>
      <c r="GI733" s="9"/>
      <c r="GJ733" s="9"/>
      <c r="GK733" s="9"/>
      <c r="GL733" s="9"/>
      <c r="GM733" s="9"/>
      <c r="GN733" s="9"/>
      <c r="GO733" s="9"/>
      <c r="GP733" s="9"/>
      <c r="GQ733" s="9"/>
    </row>
    <row r="734" spans="2:199" ht="15"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  <c r="EM734" s="9"/>
      <c r="EN734" s="9"/>
      <c r="EO734" s="9"/>
      <c r="EP734" s="9"/>
      <c r="EQ734" s="9"/>
      <c r="ER734" s="9"/>
      <c r="ES734" s="9"/>
      <c r="ET734" s="9"/>
      <c r="EU734" s="9"/>
      <c r="EV734" s="9"/>
      <c r="EW734" s="9"/>
      <c r="EX734" s="9"/>
      <c r="EY734" s="9"/>
      <c r="EZ734" s="9"/>
      <c r="FA734" s="9"/>
      <c r="FB734" s="9"/>
      <c r="FC734" s="9"/>
      <c r="FD734" s="9"/>
      <c r="FE734" s="9"/>
      <c r="FF734" s="9"/>
      <c r="FG734" s="9"/>
      <c r="FH734" s="9"/>
      <c r="FI734" s="9"/>
      <c r="FJ734" s="9"/>
      <c r="FK734" s="9"/>
      <c r="FL734" s="9"/>
      <c r="FM734" s="9"/>
      <c r="FN734" s="9"/>
      <c r="FO734" s="9"/>
      <c r="FP734" s="9"/>
      <c r="FQ734" s="9"/>
      <c r="FR734" s="9"/>
      <c r="FS734" s="9"/>
      <c r="FT734" s="9"/>
      <c r="FU734" s="9"/>
      <c r="FV734" s="9"/>
      <c r="FW734" s="9"/>
      <c r="FX734" s="9"/>
      <c r="FY734" s="9"/>
      <c r="FZ734" s="9"/>
      <c r="GA734" s="9"/>
      <c r="GB734" s="9"/>
      <c r="GC734" s="9"/>
      <c r="GD734" s="9"/>
      <c r="GE734" s="9"/>
      <c r="GF734" s="9"/>
      <c r="GG734" s="9"/>
      <c r="GH734" s="9"/>
      <c r="GI734" s="9"/>
      <c r="GJ734" s="9"/>
      <c r="GK734" s="9"/>
      <c r="GL734" s="9"/>
      <c r="GM734" s="9"/>
      <c r="GN734" s="9"/>
      <c r="GO734" s="9"/>
      <c r="GP734" s="9"/>
      <c r="GQ734" s="9"/>
    </row>
    <row r="735" spans="2:199" ht="15"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  <c r="EH735" s="9"/>
      <c r="EI735" s="9"/>
      <c r="EJ735" s="9"/>
      <c r="EK735" s="9"/>
      <c r="EL735" s="9"/>
      <c r="EM735" s="9"/>
      <c r="EN735" s="9"/>
      <c r="EO735" s="9"/>
      <c r="EP735" s="9"/>
      <c r="EQ735" s="9"/>
      <c r="ER735" s="9"/>
      <c r="ES735" s="9"/>
      <c r="ET735" s="9"/>
      <c r="EU735" s="9"/>
      <c r="EV735" s="9"/>
      <c r="EW735" s="9"/>
      <c r="EX735" s="9"/>
      <c r="EY735" s="9"/>
      <c r="EZ735" s="9"/>
      <c r="FA735" s="9"/>
      <c r="FB735" s="9"/>
      <c r="FC735" s="9"/>
      <c r="FD735" s="9"/>
      <c r="FE735" s="9"/>
      <c r="FF735" s="9"/>
      <c r="FG735" s="9"/>
      <c r="FH735" s="9"/>
      <c r="FI735" s="9"/>
      <c r="FJ735" s="9"/>
      <c r="FK735" s="9"/>
      <c r="FL735" s="9"/>
      <c r="FM735" s="9"/>
      <c r="FN735" s="9"/>
      <c r="FO735" s="9"/>
      <c r="FP735" s="9"/>
      <c r="FQ735" s="9"/>
      <c r="FR735" s="9"/>
      <c r="FS735" s="9"/>
      <c r="FT735" s="9"/>
      <c r="FU735" s="9"/>
      <c r="FV735" s="9"/>
      <c r="FW735" s="9"/>
      <c r="FX735" s="9"/>
      <c r="FY735" s="9"/>
      <c r="FZ735" s="9"/>
      <c r="GA735" s="9"/>
      <c r="GB735" s="9"/>
      <c r="GC735" s="9"/>
      <c r="GD735" s="9"/>
      <c r="GE735" s="9"/>
      <c r="GF735" s="9"/>
      <c r="GG735" s="9"/>
      <c r="GH735" s="9"/>
      <c r="GI735" s="9"/>
      <c r="GJ735" s="9"/>
      <c r="GK735" s="9"/>
      <c r="GL735" s="9"/>
      <c r="GM735" s="9"/>
      <c r="GN735" s="9"/>
      <c r="GO735" s="9"/>
      <c r="GP735" s="9"/>
      <c r="GQ735" s="9"/>
    </row>
    <row r="736" spans="2:199" ht="15"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/>
      <c r="EG736" s="9"/>
      <c r="EH736" s="9"/>
      <c r="EI736" s="9"/>
      <c r="EJ736" s="9"/>
      <c r="EK736" s="9"/>
      <c r="EL736" s="9"/>
      <c r="EM736" s="9"/>
      <c r="EN736" s="9"/>
      <c r="EO736" s="9"/>
      <c r="EP736" s="9"/>
      <c r="EQ736" s="9"/>
      <c r="ER736" s="9"/>
      <c r="ES736" s="9"/>
      <c r="ET736" s="9"/>
      <c r="EU736" s="9"/>
      <c r="EV736" s="9"/>
      <c r="EW736" s="9"/>
      <c r="EX736" s="9"/>
      <c r="EY736" s="9"/>
      <c r="EZ736" s="9"/>
      <c r="FA736" s="9"/>
      <c r="FB736" s="9"/>
      <c r="FC736" s="9"/>
      <c r="FD736" s="9"/>
      <c r="FE736" s="9"/>
      <c r="FF736" s="9"/>
      <c r="FG736" s="9"/>
      <c r="FH736" s="9"/>
      <c r="FI736" s="9"/>
      <c r="FJ736" s="9"/>
      <c r="FK736" s="9"/>
      <c r="FL736" s="9"/>
      <c r="FM736" s="9"/>
      <c r="FN736" s="9"/>
      <c r="FO736" s="9"/>
      <c r="FP736" s="9"/>
      <c r="FQ736" s="9"/>
      <c r="FR736" s="9"/>
      <c r="FS736" s="9"/>
      <c r="FT736" s="9"/>
      <c r="FU736" s="9"/>
      <c r="FV736" s="9"/>
      <c r="FW736" s="9"/>
      <c r="FX736" s="9"/>
      <c r="FY736" s="9"/>
      <c r="FZ736" s="9"/>
      <c r="GA736" s="9"/>
      <c r="GB736" s="9"/>
      <c r="GC736" s="9"/>
      <c r="GD736" s="9"/>
      <c r="GE736" s="9"/>
      <c r="GF736" s="9"/>
      <c r="GG736" s="9"/>
      <c r="GH736" s="9"/>
      <c r="GI736" s="9"/>
      <c r="GJ736" s="9"/>
      <c r="GK736" s="9"/>
      <c r="GL736" s="9"/>
      <c r="GM736" s="9"/>
      <c r="GN736" s="9"/>
      <c r="GO736" s="9"/>
      <c r="GP736" s="9"/>
      <c r="GQ736" s="9"/>
    </row>
    <row r="737" spans="2:199" ht="15"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  <c r="EP737" s="9"/>
      <c r="EQ737" s="9"/>
      <c r="ER737" s="9"/>
      <c r="ES737" s="9"/>
      <c r="ET737" s="9"/>
      <c r="EU737" s="9"/>
      <c r="EV737" s="9"/>
      <c r="EW737" s="9"/>
      <c r="EX737" s="9"/>
      <c r="EY737" s="9"/>
      <c r="EZ737" s="9"/>
      <c r="FA737" s="9"/>
      <c r="FB737" s="9"/>
      <c r="FC737" s="9"/>
      <c r="FD737" s="9"/>
      <c r="FE737" s="9"/>
      <c r="FF737" s="9"/>
      <c r="FG737" s="9"/>
      <c r="FH737" s="9"/>
      <c r="FI737" s="9"/>
      <c r="FJ737" s="9"/>
      <c r="FK737" s="9"/>
      <c r="FL737" s="9"/>
      <c r="FM737" s="9"/>
      <c r="FN737" s="9"/>
      <c r="FO737" s="9"/>
      <c r="FP737" s="9"/>
      <c r="FQ737" s="9"/>
      <c r="FR737" s="9"/>
      <c r="FS737" s="9"/>
      <c r="FT737" s="9"/>
      <c r="FU737" s="9"/>
      <c r="FV737" s="9"/>
      <c r="FW737" s="9"/>
      <c r="FX737" s="9"/>
      <c r="FY737" s="9"/>
      <c r="FZ737" s="9"/>
      <c r="GA737" s="9"/>
      <c r="GB737" s="9"/>
      <c r="GC737" s="9"/>
      <c r="GD737" s="9"/>
      <c r="GE737" s="9"/>
      <c r="GF737" s="9"/>
      <c r="GG737" s="9"/>
      <c r="GH737" s="9"/>
      <c r="GI737" s="9"/>
      <c r="GJ737" s="9"/>
      <c r="GK737" s="9"/>
      <c r="GL737" s="9"/>
      <c r="GM737" s="9"/>
      <c r="GN737" s="9"/>
      <c r="GO737" s="9"/>
      <c r="GP737" s="9"/>
      <c r="GQ737" s="9"/>
    </row>
    <row r="738" spans="2:199" ht="15"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  <c r="EP738" s="9"/>
      <c r="EQ738" s="9"/>
      <c r="ER738" s="9"/>
      <c r="ES738" s="9"/>
      <c r="ET738" s="9"/>
      <c r="EU738" s="9"/>
      <c r="EV738" s="9"/>
      <c r="EW738" s="9"/>
      <c r="EX738" s="9"/>
      <c r="EY738" s="9"/>
      <c r="EZ738" s="9"/>
      <c r="FA738" s="9"/>
      <c r="FB738" s="9"/>
      <c r="FC738" s="9"/>
      <c r="FD738" s="9"/>
      <c r="FE738" s="9"/>
      <c r="FF738" s="9"/>
      <c r="FG738" s="9"/>
      <c r="FH738" s="9"/>
      <c r="FI738" s="9"/>
      <c r="FJ738" s="9"/>
      <c r="FK738" s="9"/>
      <c r="FL738" s="9"/>
      <c r="FM738" s="9"/>
      <c r="FN738" s="9"/>
      <c r="FO738" s="9"/>
      <c r="FP738" s="9"/>
      <c r="FQ738" s="9"/>
      <c r="FR738" s="9"/>
      <c r="FS738" s="9"/>
      <c r="FT738" s="9"/>
      <c r="FU738" s="9"/>
      <c r="FV738" s="9"/>
      <c r="FW738" s="9"/>
      <c r="FX738" s="9"/>
      <c r="FY738" s="9"/>
      <c r="FZ738" s="9"/>
      <c r="GA738" s="9"/>
      <c r="GB738" s="9"/>
      <c r="GC738" s="9"/>
      <c r="GD738" s="9"/>
      <c r="GE738" s="9"/>
      <c r="GF738" s="9"/>
      <c r="GG738" s="9"/>
      <c r="GH738" s="9"/>
      <c r="GI738" s="9"/>
      <c r="GJ738" s="9"/>
      <c r="GK738" s="9"/>
      <c r="GL738" s="9"/>
      <c r="GM738" s="9"/>
      <c r="GN738" s="9"/>
      <c r="GO738" s="9"/>
      <c r="GP738" s="9"/>
      <c r="GQ738" s="9"/>
    </row>
    <row r="739" spans="2:199" ht="15"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  <c r="EF739" s="9"/>
      <c r="EG739" s="9"/>
      <c r="EH739" s="9"/>
      <c r="EI739" s="9"/>
      <c r="EJ739" s="9"/>
      <c r="EK739" s="9"/>
      <c r="EL739" s="9"/>
      <c r="EM739" s="9"/>
      <c r="EN739" s="9"/>
      <c r="EO739" s="9"/>
      <c r="EP739" s="9"/>
      <c r="EQ739" s="9"/>
      <c r="ER739" s="9"/>
      <c r="ES739" s="9"/>
      <c r="ET739" s="9"/>
      <c r="EU739" s="9"/>
      <c r="EV739" s="9"/>
      <c r="EW739" s="9"/>
      <c r="EX739" s="9"/>
      <c r="EY739" s="9"/>
      <c r="EZ739" s="9"/>
      <c r="FA739" s="9"/>
      <c r="FB739" s="9"/>
      <c r="FC739" s="9"/>
      <c r="FD739" s="9"/>
      <c r="FE739" s="9"/>
      <c r="FF739" s="9"/>
      <c r="FG739" s="9"/>
      <c r="FH739" s="9"/>
      <c r="FI739" s="9"/>
      <c r="FJ739" s="9"/>
      <c r="FK739" s="9"/>
      <c r="FL739" s="9"/>
      <c r="FM739" s="9"/>
      <c r="FN739" s="9"/>
      <c r="FO739" s="9"/>
      <c r="FP739" s="9"/>
      <c r="FQ739" s="9"/>
      <c r="FR739" s="9"/>
      <c r="FS739" s="9"/>
      <c r="FT739" s="9"/>
      <c r="FU739" s="9"/>
      <c r="FV739" s="9"/>
      <c r="FW739" s="9"/>
      <c r="FX739" s="9"/>
      <c r="FY739" s="9"/>
      <c r="FZ739" s="9"/>
      <c r="GA739" s="9"/>
      <c r="GB739" s="9"/>
      <c r="GC739" s="9"/>
      <c r="GD739" s="9"/>
      <c r="GE739" s="9"/>
      <c r="GF739" s="9"/>
      <c r="GG739" s="9"/>
      <c r="GH739" s="9"/>
      <c r="GI739" s="9"/>
      <c r="GJ739" s="9"/>
      <c r="GK739" s="9"/>
      <c r="GL739" s="9"/>
      <c r="GM739" s="9"/>
      <c r="GN739" s="9"/>
      <c r="GO739" s="9"/>
      <c r="GP739" s="9"/>
      <c r="GQ739" s="9"/>
    </row>
    <row r="740" spans="2:199" ht="15"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  <c r="EI740" s="9"/>
      <c r="EJ740" s="9"/>
      <c r="EK740" s="9"/>
      <c r="EL740" s="9"/>
      <c r="EM740" s="9"/>
      <c r="EN740" s="9"/>
      <c r="EO740" s="9"/>
      <c r="EP740" s="9"/>
      <c r="EQ740" s="9"/>
      <c r="ER740" s="9"/>
      <c r="ES740" s="9"/>
      <c r="ET740" s="9"/>
      <c r="EU740" s="9"/>
      <c r="EV740" s="9"/>
      <c r="EW740" s="9"/>
      <c r="EX740" s="9"/>
      <c r="EY740" s="9"/>
      <c r="EZ740" s="9"/>
      <c r="FA740" s="9"/>
      <c r="FB740" s="9"/>
      <c r="FC740" s="9"/>
      <c r="FD740" s="9"/>
      <c r="FE740" s="9"/>
      <c r="FF740" s="9"/>
      <c r="FG740" s="9"/>
      <c r="FH740" s="9"/>
      <c r="FI740" s="9"/>
      <c r="FJ740" s="9"/>
      <c r="FK740" s="9"/>
      <c r="FL740" s="9"/>
      <c r="FM740" s="9"/>
      <c r="FN740" s="9"/>
      <c r="FO740" s="9"/>
      <c r="FP740" s="9"/>
      <c r="FQ740" s="9"/>
      <c r="FR740" s="9"/>
      <c r="FS740" s="9"/>
      <c r="FT740" s="9"/>
      <c r="FU740" s="9"/>
      <c r="FV740" s="9"/>
      <c r="FW740" s="9"/>
      <c r="FX740" s="9"/>
      <c r="FY740" s="9"/>
      <c r="FZ740" s="9"/>
      <c r="GA740" s="9"/>
      <c r="GB740" s="9"/>
      <c r="GC740" s="9"/>
      <c r="GD740" s="9"/>
      <c r="GE740" s="9"/>
      <c r="GF740" s="9"/>
      <c r="GG740" s="9"/>
      <c r="GH740" s="9"/>
      <c r="GI740" s="9"/>
      <c r="GJ740" s="9"/>
      <c r="GK740" s="9"/>
      <c r="GL740" s="9"/>
      <c r="GM740" s="9"/>
      <c r="GN740" s="9"/>
      <c r="GO740" s="9"/>
      <c r="GP740" s="9"/>
      <c r="GQ740" s="9"/>
    </row>
    <row r="741" spans="2:199" ht="15"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/>
      <c r="EG741" s="9"/>
      <c r="EH741" s="9"/>
      <c r="EI741" s="9"/>
      <c r="EJ741" s="9"/>
      <c r="EK741" s="9"/>
      <c r="EL741" s="9"/>
      <c r="EM741" s="9"/>
      <c r="EN741" s="9"/>
      <c r="EO741" s="9"/>
      <c r="EP741" s="9"/>
      <c r="EQ741" s="9"/>
      <c r="ER741" s="9"/>
      <c r="ES741" s="9"/>
      <c r="ET741" s="9"/>
      <c r="EU741" s="9"/>
      <c r="EV741" s="9"/>
      <c r="EW741" s="9"/>
      <c r="EX741" s="9"/>
      <c r="EY741" s="9"/>
      <c r="EZ741" s="9"/>
      <c r="FA741" s="9"/>
      <c r="FB741" s="9"/>
      <c r="FC741" s="9"/>
      <c r="FD741" s="9"/>
      <c r="FE741" s="9"/>
      <c r="FF741" s="9"/>
      <c r="FG741" s="9"/>
      <c r="FH741" s="9"/>
      <c r="FI741" s="9"/>
      <c r="FJ741" s="9"/>
      <c r="FK741" s="9"/>
      <c r="FL741" s="9"/>
      <c r="FM741" s="9"/>
      <c r="FN741" s="9"/>
      <c r="FO741" s="9"/>
      <c r="FP741" s="9"/>
      <c r="FQ741" s="9"/>
      <c r="FR741" s="9"/>
      <c r="FS741" s="9"/>
      <c r="FT741" s="9"/>
      <c r="FU741" s="9"/>
      <c r="FV741" s="9"/>
      <c r="FW741" s="9"/>
      <c r="FX741" s="9"/>
      <c r="FY741" s="9"/>
      <c r="FZ741" s="9"/>
      <c r="GA741" s="9"/>
      <c r="GB741" s="9"/>
      <c r="GC741" s="9"/>
      <c r="GD741" s="9"/>
      <c r="GE741" s="9"/>
      <c r="GF741" s="9"/>
      <c r="GG741" s="9"/>
      <c r="GH741" s="9"/>
      <c r="GI741" s="9"/>
      <c r="GJ741" s="9"/>
      <c r="GK741" s="9"/>
      <c r="GL741" s="9"/>
      <c r="GM741" s="9"/>
      <c r="GN741" s="9"/>
      <c r="GO741" s="9"/>
      <c r="GP741" s="9"/>
      <c r="GQ741" s="9"/>
    </row>
    <row r="742" spans="2:199" ht="15"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  <c r="EH742" s="9"/>
      <c r="EI742" s="9"/>
      <c r="EJ742" s="9"/>
      <c r="EK742" s="9"/>
      <c r="EL742" s="9"/>
      <c r="EM742" s="9"/>
      <c r="EN742" s="9"/>
      <c r="EO742" s="9"/>
      <c r="EP742" s="9"/>
      <c r="EQ742" s="9"/>
      <c r="ER742" s="9"/>
      <c r="ES742" s="9"/>
      <c r="ET742" s="9"/>
      <c r="EU742" s="9"/>
      <c r="EV742" s="9"/>
      <c r="EW742" s="9"/>
      <c r="EX742" s="9"/>
      <c r="EY742" s="9"/>
      <c r="EZ742" s="9"/>
      <c r="FA742" s="9"/>
      <c r="FB742" s="9"/>
      <c r="FC742" s="9"/>
      <c r="FD742" s="9"/>
      <c r="FE742" s="9"/>
      <c r="FF742" s="9"/>
      <c r="FG742" s="9"/>
      <c r="FH742" s="9"/>
      <c r="FI742" s="9"/>
      <c r="FJ742" s="9"/>
      <c r="FK742" s="9"/>
      <c r="FL742" s="9"/>
      <c r="FM742" s="9"/>
      <c r="FN742" s="9"/>
      <c r="FO742" s="9"/>
      <c r="FP742" s="9"/>
      <c r="FQ742" s="9"/>
      <c r="FR742" s="9"/>
      <c r="FS742" s="9"/>
      <c r="FT742" s="9"/>
      <c r="FU742" s="9"/>
      <c r="FV742" s="9"/>
      <c r="FW742" s="9"/>
      <c r="FX742" s="9"/>
      <c r="FY742" s="9"/>
      <c r="FZ742" s="9"/>
      <c r="GA742" s="9"/>
      <c r="GB742" s="9"/>
      <c r="GC742" s="9"/>
      <c r="GD742" s="9"/>
      <c r="GE742" s="9"/>
      <c r="GF742" s="9"/>
      <c r="GG742" s="9"/>
      <c r="GH742" s="9"/>
      <c r="GI742" s="9"/>
      <c r="GJ742" s="9"/>
      <c r="GK742" s="9"/>
      <c r="GL742" s="9"/>
      <c r="GM742" s="9"/>
      <c r="GN742" s="9"/>
      <c r="GO742" s="9"/>
      <c r="GP742" s="9"/>
      <c r="GQ742" s="9"/>
    </row>
    <row r="743" spans="2:199" ht="15"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/>
      <c r="EG743" s="9"/>
      <c r="EH743" s="9"/>
      <c r="EI743" s="9"/>
      <c r="EJ743" s="9"/>
      <c r="EK743" s="9"/>
      <c r="EL743" s="9"/>
      <c r="EM743" s="9"/>
      <c r="EN743" s="9"/>
      <c r="EO743" s="9"/>
      <c r="EP743" s="9"/>
      <c r="EQ743" s="9"/>
      <c r="ER743" s="9"/>
      <c r="ES743" s="9"/>
      <c r="ET743" s="9"/>
      <c r="EU743" s="9"/>
      <c r="EV743" s="9"/>
      <c r="EW743" s="9"/>
      <c r="EX743" s="9"/>
      <c r="EY743" s="9"/>
      <c r="EZ743" s="9"/>
      <c r="FA743" s="9"/>
      <c r="FB743" s="9"/>
      <c r="FC743" s="9"/>
      <c r="FD743" s="9"/>
      <c r="FE743" s="9"/>
      <c r="FF743" s="9"/>
      <c r="FG743" s="9"/>
      <c r="FH743" s="9"/>
      <c r="FI743" s="9"/>
      <c r="FJ743" s="9"/>
      <c r="FK743" s="9"/>
      <c r="FL743" s="9"/>
      <c r="FM743" s="9"/>
      <c r="FN743" s="9"/>
      <c r="FO743" s="9"/>
      <c r="FP743" s="9"/>
      <c r="FQ743" s="9"/>
      <c r="FR743" s="9"/>
      <c r="FS743" s="9"/>
      <c r="FT743" s="9"/>
      <c r="FU743" s="9"/>
      <c r="FV743" s="9"/>
      <c r="FW743" s="9"/>
      <c r="FX743" s="9"/>
      <c r="FY743" s="9"/>
      <c r="FZ743" s="9"/>
      <c r="GA743" s="9"/>
      <c r="GB743" s="9"/>
      <c r="GC743" s="9"/>
      <c r="GD743" s="9"/>
      <c r="GE743" s="9"/>
      <c r="GF743" s="9"/>
      <c r="GG743" s="9"/>
      <c r="GH743" s="9"/>
      <c r="GI743" s="9"/>
      <c r="GJ743" s="9"/>
      <c r="GK743" s="9"/>
      <c r="GL743" s="9"/>
      <c r="GM743" s="9"/>
      <c r="GN743" s="9"/>
      <c r="GO743" s="9"/>
      <c r="GP743" s="9"/>
      <c r="GQ743" s="9"/>
    </row>
    <row r="744" spans="2:199" ht="15"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  <c r="EO744" s="9"/>
      <c r="EP744" s="9"/>
      <c r="EQ744" s="9"/>
      <c r="ER744" s="9"/>
      <c r="ES744" s="9"/>
      <c r="ET744" s="9"/>
      <c r="EU744" s="9"/>
      <c r="EV744" s="9"/>
      <c r="EW744" s="9"/>
      <c r="EX744" s="9"/>
      <c r="EY744" s="9"/>
      <c r="EZ744" s="9"/>
      <c r="FA744" s="9"/>
      <c r="FB744" s="9"/>
      <c r="FC744" s="9"/>
      <c r="FD744" s="9"/>
      <c r="FE744" s="9"/>
      <c r="FF744" s="9"/>
      <c r="FG744" s="9"/>
      <c r="FH744" s="9"/>
      <c r="FI744" s="9"/>
      <c r="FJ744" s="9"/>
      <c r="FK744" s="9"/>
      <c r="FL744" s="9"/>
      <c r="FM744" s="9"/>
      <c r="FN744" s="9"/>
      <c r="FO744" s="9"/>
      <c r="FP744" s="9"/>
      <c r="FQ744" s="9"/>
      <c r="FR744" s="9"/>
      <c r="FS744" s="9"/>
      <c r="FT744" s="9"/>
      <c r="FU744" s="9"/>
      <c r="FV744" s="9"/>
      <c r="FW744" s="9"/>
      <c r="FX744" s="9"/>
      <c r="FY744" s="9"/>
      <c r="FZ744" s="9"/>
      <c r="GA744" s="9"/>
      <c r="GB744" s="9"/>
      <c r="GC744" s="9"/>
      <c r="GD744" s="9"/>
      <c r="GE744" s="9"/>
      <c r="GF744" s="9"/>
      <c r="GG744" s="9"/>
      <c r="GH744" s="9"/>
      <c r="GI744" s="9"/>
      <c r="GJ744" s="9"/>
      <c r="GK744" s="9"/>
      <c r="GL744" s="9"/>
      <c r="GM744" s="9"/>
      <c r="GN744" s="9"/>
      <c r="GO744" s="9"/>
      <c r="GP744" s="9"/>
      <c r="GQ744" s="9"/>
    </row>
    <row r="745" spans="2:199" ht="15"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  <c r="EI745" s="9"/>
      <c r="EJ745" s="9"/>
      <c r="EK745" s="9"/>
      <c r="EL745" s="9"/>
      <c r="EM745" s="9"/>
      <c r="EN745" s="9"/>
      <c r="EO745" s="9"/>
      <c r="EP745" s="9"/>
      <c r="EQ745" s="9"/>
      <c r="ER745" s="9"/>
      <c r="ES745" s="9"/>
      <c r="ET745" s="9"/>
      <c r="EU745" s="9"/>
      <c r="EV745" s="9"/>
      <c r="EW745" s="9"/>
      <c r="EX745" s="9"/>
      <c r="EY745" s="9"/>
      <c r="EZ745" s="9"/>
      <c r="FA745" s="9"/>
      <c r="FB745" s="9"/>
      <c r="FC745" s="9"/>
      <c r="FD745" s="9"/>
      <c r="FE745" s="9"/>
      <c r="FF745" s="9"/>
      <c r="FG745" s="9"/>
      <c r="FH745" s="9"/>
      <c r="FI745" s="9"/>
      <c r="FJ745" s="9"/>
      <c r="FK745" s="9"/>
      <c r="FL745" s="9"/>
      <c r="FM745" s="9"/>
      <c r="FN745" s="9"/>
      <c r="FO745" s="9"/>
      <c r="FP745" s="9"/>
      <c r="FQ745" s="9"/>
      <c r="FR745" s="9"/>
      <c r="FS745" s="9"/>
      <c r="FT745" s="9"/>
      <c r="FU745" s="9"/>
      <c r="FV745" s="9"/>
      <c r="FW745" s="9"/>
      <c r="FX745" s="9"/>
      <c r="FY745" s="9"/>
      <c r="FZ745" s="9"/>
      <c r="GA745" s="9"/>
      <c r="GB745" s="9"/>
      <c r="GC745" s="9"/>
      <c r="GD745" s="9"/>
      <c r="GE745" s="9"/>
      <c r="GF745" s="9"/>
      <c r="GG745" s="9"/>
      <c r="GH745" s="9"/>
      <c r="GI745" s="9"/>
      <c r="GJ745" s="9"/>
      <c r="GK745" s="9"/>
      <c r="GL745" s="9"/>
      <c r="GM745" s="9"/>
      <c r="GN745" s="9"/>
      <c r="GO745" s="9"/>
      <c r="GP745" s="9"/>
      <c r="GQ745" s="9"/>
    </row>
    <row r="746" spans="2:199" ht="15"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  <c r="EO746" s="9"/>
      <c r="EP746" s="9"/>
      <c r="EQ746" s="9"/>
      <c r="ER746" s="9"/>
      <c r="ES746" s="9"/>
      <c r="ET746" s="9"/>
      <c r="EU746" s="9"/>
      <c r="EV746" s="9"/>
      <c r="EW746" s="9"/>
      <c r="EX746" s="9"/>
      <c r="EY746" s="9"/>
      <c r="EZ746" s="9"/>
      <c r="FA746" s="9"/>
      <c r="FB746" s="9"/>
      <c r="FC746" s="9"/>
      <c r="FD746" s="9"/>
      <c r="FE746" s="9"/>
      <c r="FF746" s="9"/>
      <c r="FG746" s="9"/>
      <c r="FH746" s="9"/>
      <c r="FI746" s="9"/>
      <c r="FJ746" s="9"/>
      <c r="FK746" s="9"/>
      <c r="FL746" s="9"/>
      <c r="FM746" s="9"/>
      <c r="FN746" s="9"/>
      <c r="FO746" s="9"/>
      <c r="FP746" s="9"/>
      <c r="FQ746" s="9"/>
      <c r="FR746" s="9"/>
      <c r="FS746" s="9"/>
      <c r="FT746" s="9"/>
      <c r="FU746" s="9"/>
      <c r="FV746" s="9"/>
      <c r="FW746" s="9"/>
      <c r="FX746" s="9"/>
      <c r="FY746" s="9"/>
      <c r="FZ746" s="9"/>
      <c r="GA746" s="9"/>
      <c r="GB746" s="9"/>
      <c r="GC746" s="9"/>
      <c r="GD746" s="9"/>
      <c r="GE746" s="9"/>
      <c r="GF746" s="9"/>
      <c r="GG746" s="9"/>
      <c r="GH746" s="9"/>
      <c r="GI746" s="9"/>
      <c r="GJ746" s="9"/>
      <c r="GK746" s="9"/>
      <c r="GL746" s="9"/>
      <c r="GM746" s="9"/>
      <c r="GN746" s="9"/>
      <c r="GO746" s="9"/>
      <c r="GP746" s="9"/>
      <c r="GQ746" s="9"/>
    </row>
    <row r="747" spans="2:199" ht="15"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  <c r="EP747" s="9"/>
      <c r="EQ747" s="9"/>
      <c r="ER747" s="9"/>
      <c r="ES747" s="9"/>
      <c r="ET747" s="9"/>
      <c r="EU747" s="9"/>
      <c r="EV747" s="9"/>
      <c r="EW747" s="9"/>
      <c r="EX747" s="9"/>
      <c r="EY747" s="9"/>
      <c r="EZ747" s="9"/>
      <c r="FA747" s="9"/>
      <c r="FB747" s="9"/>
      <c r="FC747" s="9"/>
      <c r="FD747" s="9"/>
      <c r="FE747" s="9"/>
      <c r="FF747" s="9"/>
      <c r="FG747" s="9"/>
      <c r="FH747" s="9"/>
      <c r="FI747" s="9"/>
      <c r="FJ747" s="9"/>
      <c r="FK747" s="9"/>
      <c r="FL747" s="9"/>
      <c r="FM747" s="9"/>
      <c r="FN747" s="9"/>
      <c r="FO747" s="9"/>
      <c r="FP747" s="9"/>
      <c r="FQ747" s="9"/>
      <c r="FR747" s="9"/>
      <c r="FS747" s="9"/>
      <c r="FT747" s="9"/>
      <c r="FU747" s="9"/>
      <c r="FV747" s="9"/>
      <c r="FW747" s="9"/>
      <c r="FX747" s="9"/>
      <c r="FY747" s="9"/>
      <c r="FZ747" s="9"/>
      <c r="GA747" s="9"/>
      <c r="GB747" s="9"/>
      <c r="GC747" s="9"/>
      <c r="GD747" s="9"/>
      <c r="GE747" s="9"/>
      <c r="GF747" s="9"/>
      <c r="GG747" s="9"/>
      <c r="GH747" s="9"/>
      <c r="GI747" s="9"/>
      <c r="GJ747" s="9"/>
      <c r="GK747" s="9"/>
      <c r="GL747" s="9"/>
      <c r="GM747" s="9"/>
      <c r="GN747" s="9"/>
      <c r="GO747" s="9"/>
      <c r="GP747" s="9"/>
      <c r="GQ747" s="9"/>
    </row>
    <row r="748" spans="2:199" ht="15"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/>
      <c r="EG748" s="9"/>
      <c r="EH748" s="9"/>
      <c r="EI748" s="9"/>
      <c r="EJ748" s="9"/>
      <c r="EK748" s="9"/>
      <c r="EL748" s="9"/>
      <c r="EM748" s="9"/>
      <c r="EN748" s="9"/>
      <c r="EO748" s="9"/>
      <c r="EP748" s="9"/>
      <c r="EQ748" s="9"/>
      <c r="ER748" s="9"/>
      <c r="ES748" s="9"/>
      <c r="ET748" s="9"/>
      <c r="EU748" s="9"/>
      <c r="EV748" s="9"/>
      <c r="EW748" s="9"/>
      <c r="EX748" s="9"/>
      <c r="EY748" s="9"/>
      <c r="EZ748" s="9"/>
      <c r="FA748" s="9"/>
      <c r="FB748" s="9"/>
      <c r="FC748" s="9"/>
      <c r="FD748" s="9"/>
      <c r="FE748" s="9"/>
      <c r="FF748" s="9"/>
      <c r="FG748" s="9"/>
      <c r="FH748" s="9"/>
      <c r="FI748" s="9"/>
      <c r="FJ748" s="9"/>
      <c r="FK748" s="9"/>
      <c r="FL748" s="9"/>
      <c r="FM748" s="9"/>
      <c r="FN748" s="9"/>
      <c r="FO748" s="9"/>
      <c r="FP748" s="9"/>
      <c r="FQ748" s="9"/>
      <c r="FR748" s="9"/>
      <c r="FS748" s="9"/>
      <c r="FT748" s="9"/>
      <c r="FU748" s="9"/>
      <c r="FV748" s="9"/>
      <c r="FW748" s="9"/>
      <c r="FX748" s="9"/>
      <c r="FY748" s="9"/>
      <c r="FZ748" s="9"/>
      <c r="GA748" s="9"/>
      <c r="GB748" s="9"/>
      <c r="GC748" s="9"/>
      <c r="GD748" s="9"/>
      <c r="GE748" s="9"/>
      <c r="GF748" s="9"/>
      <c r="GG748" s="9"/>
      <c r="GH748" s="9"/>
      <c r="GI748" s="9"/>
      <c r="GJ748" s="9"/>
      <c r="GK748" s="9"/>
      <c r="GL748" s="9"/>
      <c r="GM748" s="9"/>
      <c r="GN748" s="9"/>
      <c r="GO748" s="9"/>
      <c r="GP748" s="9"/>
      <c r="GQ748" s="9"/>
    </row>
    <row r="749" spans="2:199" ht="15"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  <c r="EH749" s="9"/>
      <c r="EI749" s="9"/>
      <c r="EJ749" s="9"/>
      <c r="EK749" s="9"/>
      <c r="EL749" s="9"/>
      <c r="EM749" s="9"/>
      <c r="EN749" s="9"/>
      <c r="EO749" s="9"/>
      <c r="EP749" s="9"/>
      <c r="EQ749" s="9"/>
      <c r="ER749" s="9"/>
      <c r="ES749" s="9"/>
      <c r="ET749" s="9"/>
      <c r="EU749" s="9"/>
      <c r="EV749" s="9"/>
      <c r="EW749" s="9"/>
      <c r="EX749" s="9"/>
      <c r="EY749" s="9"/>
      <c r="EZ749" s="9"/>
      <c r="FA749" s="9"/>
      <c r="FB749" s="9"/>
      <c r="FC749" s="9"/>
      <c r="FD749" s="9"/>
      <c r="FE749" s="9"/>
      <c r="FF749" s="9"/>
      <c r="FG749" s="9"/>
      <c r="FH749" s="9"/>
      <c r="FI749" s="9"/>
      <c r="FJ749" s="9"/>
      <c r="FK749" s="9"/>
      <c r="FL749" s="9"/>
      <c r="FM749" s="9"/>
      <c r="FN749" s="9"/>
      <c r="FO749" s="9"/>
      <c r="FP749" s="9"/>
      <c r="FQ749" s="9"/>
      <c r="FR749" s="9"/>
      <c r="FS749" s="9"/>
      <c r="FT749" s="9"/>
      <c r="FU749" s="9"/>
      <c r="FV749" s="9"/>
      <c r="FW749" s="9"/>
      <c r="FX749" s="9"/>
      <c r="FY749" s="9"/>
      <c r="FZ749" s="9"/>
      <c r="GA749" s="9"/>
      <c r="GB749" s="9"/>
      <c r="GC749" s="9"/>
      <c r="GD749" s="9"/>
      <c r="GE749" s="9"/>
      <c r="GF749" s="9"/>
      <c r="GG749" s="9"/>
      <c r="GH749" s="9"/>
      <c r="GI749" s="9"/>
      <c r="GJ749" s="9"/>
      <c r="GK749" s="9"/>
      <c r="GL749" s="9"/>
      <c r="GM749" s="9"/>
      <c r="GN749" s="9"/>
      <c r="GO749" s="9"/>
      <c r="GP749" s="9"/>
      <c r="GQ749" s="9"/>
    </row>
    <row r="750" spans="2:199" ht="15"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  <c r="EH750" s="9"/>
      <c r="EI750" s="9"/>
      <c r="EJ750" s="9"/>
      <c r="EK750" s="9"/>
      <c r="EL750" s="9"/>
      <c r="EM750" s="9"/>
      <c r="EN750" s="9"/>
      <c r="EO750" s="9"/>
      <c r="EP750" s="9"/>
      <c r="EQ750" s="9"/>
      <c r="ER750" s="9"/>
      <c r="ES750" s="9"/>
      <c r="ET750" s="9"/>
      <c r="EU750" s="9"/>
      <c r="EV750" s="9"/>
      <c r="EW750" s="9"/>
      <c r="EX750" s="9"/>
      <c r="EY750" s="9"/>
      <c r="EZ750" s="9"/>
      <c r="FA750" s="9"/>
      <c r="FB750" s="9"/>
      <c r="FC750" s="9"/>
      <c r="FD750" s="9"/>
      <c r="FE750" s="9"/>
      <c r="FF750" s="9"/>
      <c r="FG750" s="9"/>
      <c r="FH750" s="9"/>
      <c r="FI750" s="9"/>
      <c r="FJ750" s="9"/>
      <c r="FK750" s="9"/>
      <c r="FL750" s="9"/>
      <c r="FM750" s="9"/>
      <c r="FN750" s="9"/>
      <c r="FO750" s="9"/>
      <c r="FP750" s="9"/>
      <c r="FQ750" s="9"/>
      <c r="FR750" s="9"/>
      <c r="FS750" s="9"/>
      <c r="FT750" s="9"/>
      <c r="FU750" s="9"/>
      <c r="FV750" s="9"/>
      <c r="FW750" s="9"/>
      <c r="FX750" s="9"/>
      <c r="FY750" s="9"/>
      <c r="FZ750" s="9"/>
      <c r="GA750" s="9"/>
      <c r="GB750" s="9"/>
      <c r="GC750" s="9"/>
      <c r="GD750" s="9"/>
      <c r="GE750" s="9"/>
      <c r="GF750" s="9"/>
      <c r="GG750" s="9"/>
      <c r="GH750" s="9"/>
      <c r="GI750" s="9"/>
      <c r="GJ750" s="9"/>
      <c r="GK750" s="9"/>
      <c r="GL750" s="9"/>
      <c r="GM750" s="9"/>
      <c r="GN750" s="9"/>
      <c r="GO750" s="9"/>
      <c r="GP750" s="9"/>
      <c r="GQ750" s="9"/>
    </row>
    <row r="751" spans="2:199" ht="15"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  <c r="EF751" s="9"/>
      <c r="EG751" s="9"/>
      <c r="EH751" s="9"/>
      <c r="EI751" s="9"/>
      <c r="EJ751" s="9"/>
      <c r="EK751" s="9"/>
      <c r="EL751" s="9"/>
      <c r="EM751" s="9"/>
      <c r="EN751" s="9"/>
      <c r="EO751" s="9"/>
      <c r="EP751" s="9"/>
      <c r="EQ751" s="9"/>
      <c r="ER751" s="9"/>
      <c r="ES751" s="9"/>
      <c r="ET751" s="9"/>
      <c r="EU751" s="9"/>
      <c r="EV751" s="9"/>
      <c r="EW751" s="9"/>
      <c r="EX751" s="9"/>
      <c r="EY751" s="9"/>
      <c r="EZ751" s="9"/>
      <c r="FA751" s="9"/>
      <c r="FB751" s="9"/>
      <c r="FC751" s="9"/>
      <c r="FD751" s="9"/>
      <c r="FE751" s="9"/>
      <c r="FF751" s="9"/>
      <c r="FG751" s="9"/>
      <c r="FH751" s="9"/>
      <c r="FI751" s="9"/>
      <c r="FJ751" s="9"/>
      <c r="FK751" s="9"/>
      <c r="FL751" s="9"/>
      <c r="FM751" s="9"/>
      <c r="FN751" s="9"/>
      <c r="FO751" s="9"/>
      <c r="FP751" s="9"/>
      <c r="FQ751" s="9"/>
      <c r="FR751" s="9"/>
      <c r="FS751" s="9"/>
      <c r="FT751" s="9"/>
      <c r="FU751" s="9"/>
      <c r="FV751" s="9"/>
      <c r="FW751" s="9"/>
      <c r="FX751" s="9"/>
      <c r="FY751" s="9"/>
      <c r="FZ751" s="9"/>
      <c r="GA751" s="9"/>
      <c r="GB751" s="9"/>
      <c r="GC751" s="9"/>
      <c r="GD751" s="9"/>
      <c r="GE751" s="9"/>
      <c r="GF751" s="9"/>
      <c r="GG751" s="9"/>
      <c r="GH751" s="9"/>
      <c r="GI751" s="9"/>
      <c r="GJ751" s="9"/>
      <c r="GK751" s="9"/>
      <c r="GL751" s="9"/>
      <c r="GM751" s="9"/>
      <c r="GN751" s="9"/>
      <c r="GO751" s="9"/>
      <c r="GP751" s="9"/>
      <c r="GQ751" s="9"/>
    </row>
    <row r="752" spans="2:199" ht="15"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  <c r="EH752" s="9"/>
      <c r="EI752" s="9"/>
      <c r="EJ752" s="9"/>
      <c r="EK752" s="9"/>
      <c r="EL752" s="9"/>
      <c r="EM752" s="9"/>
      <c r="EN752" s="9"/>
      <c r="EO752" s="9"/>
      <c r="EP752" s="9"/>
      <c r="EQ752" s="9"/>
      <c r="ER752" s="9"/>
      <c r="ES752" s="9"/>
      <c r="ET752" s="9"/>
      <c r="EU752" s="9"/>
      <c r="EV752" s="9"/>
      <c r="EW752" s="9"/>
      <c r="EX752" s="9"/>
      <c r="EY752" s="9"/>
      <c r="EZ752" s="9"/>
      <c r="FA752" s="9"/>
      <c r="FB752" s="9"/>
      <c r="FC752" s="9"/>
      <c r="FD752" s="9"/>
      <c r="FE752" s="9"/>
      <c r="FF752" s="9"/>
      <c r="FG752" s="9"/>
      <c r="FH752" s="9"/>
      <c r="FI752" s="9"/>
      <c r="FJ752" s="9"/>
      <c r="FK752" s="9"/>
      <c r="FL752" s="9"/>
      <c r="FM752" s="9"/>
      <c r="FN752" s="9"/>
      <c r="FO752" s="9"/>
      <c r="FP752" s="9"/>
      <c r="FQ752" s="9"/>
      <c r="FR752" s="9"/>
      <c r="FS752" s="9"/>
      <c r="FT752" s="9"/>
      <c r="FU752" s="9"/>
      <c r="FV752" s="9"/>
      <c r="FW752" s="9"/>
      <c r="FX752" s="9"/>
      <c r="FY752" s="9"/>
      <c r="FZ752" s="9"/>
      <c r="GA752" s="9"/>
      <c r="GB752" s="9"/>
      <c r="GC752" s="9"/>
      <c r="GD752" s="9"/>
      <c r="GE752" s="9"/>
      <c r="GF752" s="9"/>
      <c r="GG752" s="9"/>
      <c r="GH752" s="9"/>
      <c r="GI752" s="9"/>
      <c r="GJ752" s="9"/>
      <c r="GK752" s="9"/>
      <c r="GL752" s="9"/>
      <c r="GM752" s="9"/>
      <c r="GN752" s="9"/>
      <c r="GO752" s="9"/>
      <c r="GP752" s="9"/>
      <c r="GQ752" s="9"/>
    </row>
    <row r="753" spans="2:199" ht="15"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  <c r="EH753" s="9"/>
      <c r="EI753" s="9"/>
      <c r="EJ753" s="9"/>
      <c r="EK753" s="9"/>
      <c r="EL753" s="9"/>
      <c r="EM753" s="9"/>
      <c r="EN753" s="9"/>
      <c r="EO753" s="9"/>
      <c r="EP753" s="9"/>
      <c r="EQ753" s="9"/>
      <c r="ER753" s="9"/>
      <c r="ES753" s="9"/>
      <c r="ET753" s="9"/>
      <c r="EU753" s="9"/>
      <c r="EV753" s="9"/>
      <c r="EW753" s="9"/>
      <c r="EX753" s="9"/>
      <c r="EY753" s="9"/>
      <c r="EZ753" s="9"/>
      <c r="FA753" s="9"/>
      <c r="FB753" s="9"/>
      <c r="FC753" s="9"/>
      <c r="FD753" s="9"/>
      <c r="FE753" s="9"/>
      <c r="FF753" s="9"/>
      <c r="FG753" s="9"/>
      <c r="FH753" s="9"/>
      <c r="FI753" s="9"/>
      <c r="FJ753" s="9"/>
      <c r="FK753" s="9"/>
      <c r="FL753" s="9"/>
      <c r="FM753" s="9"/>
      <c r="FN753" s="9"/>
      <c r="FO753" s="9"/>
      <c r="FP753" s="9"/>
      <c r="FQ753" s="9"/>
      <c r="FR753" s="9"/>
      <c r="FS753" s="9"/>
      <c r="FT753" s="9"/>
      <c r="FU753" s="9"/>
      <c r="FV753" s="9"/>
      <c r="FW753" s="9"/>
      <c r="FX753" s="9"/>
      <c r="FY753" s="9"/>
      <c r="FZ753" s="9"/>
      <c r="GA753" s="9"/>
      <c r="GB753" s="9"/>
      <c r="GC753" s="9"/>
      <c r="GD753" s="9"/>
      <c r="GE753" s="9"/>
      <c r="GF753" s="9"/>
      <c r="GG753" s="9"/>
      <c r="GH753" s="9"/>
      <c r="GI753" s="9"/>
      <c r="GJ753" s="9"/>
      <c r="GK753" s="9"/>
      <c r="GL753" s="9"/>
      <c r="GM753" s="9"/>
      <c r="GN753" s="9"/>
      <c r="GO753" s="9"/>
      <c r="GP753" s="9"/>
      <c r="GQ753" s="9"/>
    </row>
    <row r="754" spans="2:199" ht="15"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  <c r="EH754" s="9"/>
      <c r="EI754" s="9"/>
      <c r="EJ754" s="9"/>
      <c r="EK754" s="9"/>
      <c r="EL754" s="9"/>
      <c r="EM754" s="9"/>
      <c r="EN754" s="9"/>
      <c r="EO754" s="9"/>
      <c r="EP754" s="9"/>
      <c r="EQ754" s="9"/>
      <c r="ER754" s="9"/>
      <c r="ES754" s="9"/>
      <c r="ET754" s="9"/>
      <c r="EU754" s="9"/>
      <c r="EV754" s="9"/>
      <c r="EW754" s="9"/>
      <c r="EX754" s="9"/>
      <c r="EY754" s="9"/>
      <c r="EZ754" s="9"/>
      <c r="FA754" s="9"/>
      <c r="FB754" s="9"/>
      <c r="FC754" s="9"/>
      <c r="FD754" s="9"/>
      <c r="FE754" s="9"/>
      <c r="FF754" s="9"/>
      <c r="FG754" s="9"/>
      <c r="FH754" s="9"/>
      <c r="FI754" s="9"/>
      <c r="FJ754" s="9"/>
      <c r="FK754" s="9"/>
      <c r="FL754" s="9"/>
      <c r="FM754" s="9"/>
      <c r="FN754" s="9"/>
      <c r="FO754" s="9"/>
      <c r="FP754" s="9"/>
      <c r="FQ754" s="9"/>
      <c r="FR754" s="9"/>
      <c r="FS754" s="9"/>
      <c r="FT754" s="9"/>
      <c r="FU754" s="9"/>
      <c r="FV754" s="9"/>
      <c r="FW754" s="9"/>
      <c r="FX754" s="9"/>
      <c r="FY754" s="9"/>
      <c r="FZ754" s="9"/>
      <c r="GA754" s="9"/>
      <c r="GB754" s="9"/>
      <c r="GC754" s="9"/>
      <c r="GD754" s="9"/>
      <c r="GE754" s="9"/>
      <c r="GF754" s="9"/>
      <c r="GG754" s="9"/>
      <c r="GH754" s="9"/>
      <c r="GI754" s="9"/>
      <c r="GJ754" s="9"/>
      <c r="GK754" s="9"/>
      <c r="GL754" s="9"/>
      <c r="GM754" s="9"/>
      <c r="GN754" s="9"/>
      <c r="GO754" s="9"/>
      <c r="GP754" s="9"/>
      <c r="GQ754" s="9"/>
    </row>
    <row r="755" spans="2:199" ht="15"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  <c r="EI755" s="9"/>
      <c r="EJ755" s="9"/>
      <c r="EK755" s="9"/>
      <c r="EL755" s="9"/>
      <c r="EM755" s="9"/>
      <c r="EN755" s="9"/>
      <c r="EO755" s="9"/>
      <c r="EP755" s="9"/>
      <c r="EQ755" s="9"/>
      <c r="ER755" s="9"/>
      <c r="ES755" s="9"/>
      <c r="ET755" s="9"/>
      <c r="EU755" s="9"/>
      <c r="EV755" s="9"/>
      <c r="EW755" s="9"/>
      <c r="EX755" s="9"/>
      <c r="EY755" s="9"/>
      <c r="EZ755" s="9"/>
      <c r="FA755" s="9"/>
      <c r="FB755" s="9"/>
      <c r="FC755" s="9"/>
      <c r="FD755" s="9"/>
      <c r="FE755" s="9"/>
      <c r="FF755" s="9"/>
      <c r="FG755" s="9"/>
      <c r="FH755" s="9"/>
      <c r="FI755" s="9"/>
      <c r="FJ755" s="9"/>
      <c r="FK755" s="9"/>
      <c r="FL755" s="9"/>
      <c r="FM755" s="9"/>
      <c r="FN755" s="9"/>
      <c r="FO755" s="9"/>
      <c r="FP755" s="9"/>
      <c r="FQ755" s="9"/>
      <c r="FR755" s="9"/>
      <c r="FS755" s="9"/>
      <c r="FT755" s="9"/>
      <c r="FU755" s="9"/>
      <c r="FV755" s="9"/>
      <c r="FW755" s="9"/>
      <c r="FX755" s="9"/>
      <c r="FY755" s="9"/>
      <c r="FZ755" s="9"/>
      <c r="GA755" s="9"/>
      <c r="GB755" s="9"/>
      <c r="GC755" s="9"/>
      <c r="GD755" s="9"/>
      <c r="GE755" s="9"/>
      <c r="GF755" s="9"/>
      <c r="GG755" s="9"/>
      <c r="GH755" s="9"/>
      <c r="GI755" s="9"/>
      <c r="GJ755" s="9"/>
      <c r="GK755" s="9"/>
      <c r="GL755" s="9"/>
      <c r="GM755" s="9"/>
      <c r="GN755" s="9"/>
      <c r="GO755" s="9"/>
      <c r="GP755" s="9"/>
      <c r="GQ755" s="9"/>
    </row>
    <row r="756" spans="2:199" ht="15"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  <c r="EH756" s="9"/>
      <c r="EI756" s="9"/>
      <c r="EJ756" s="9"/>
      <c r="EK756" s="9"/>
      <c r="EL756" s="9"/>
      <c r="EM756" s="9"/>
      <c r="EN756" s="9"/>
      <c r="EO756" s="9"/>
      <c r="EP756" s="9"/>
      <c r="EQ756" s="9"/>
      <c r="ER756" s="9"/>
      <c r="ES756" s="9"/>
      <c r="ET756" s="9"/>
      <c r="EU756" s="9"/>
      <c r="EV756" s="9"/>
      <c r="EW756" s="9"/>
      <c r="EX756" s="9"/>
      <c r="EY756" s="9"/>
      <c r="EZ756" s="9"/>
      <c r="FA756" s="9"/>
      <c r="FB756" s="9"/>
      <c r="FC756" s="9"/>
      <c r="FD756" s="9"/>
      <c r="FE756" s="9"/>
      <c r="FF756" s="9"/>
      <c r="FG756" s="9"/>
      <c r="FH756" s="9"/>
      <c r="FI756" s="9"/>
      <c r="FJ756" s="9"/>
      <c r="FK756" s="9"/>
      <c r="FL756" s="9"/>
      <c r="FM756" s="9"/>
      <c r="FN756" s="9"/>
      <c r="FO756" s="9"/>
      <c r="FP756" s="9"/>
      <c r="FQ756" s="9"/>
      <c r="FR756" s="9"/>
      <c r="FS756" s="9"/>
      <c r="FT756" s="9"/>
      <c r="FU756" s="9"/>
      <c r="FV756" s="9"/>
      <c r="FW756" s="9"/>
      <c r="FX756" s="9"/>
      <c r="FY756" s="9"/>
      <c r="FZ756" s="9"/>
      <c r="GA756" s="9"/>
      <c r="GB756" s="9"/>
      <c r="GC756" s="9"/>
      <c r="GD756" s="9"/>
      <c r="GE756" s="9"/>
      <c r="GF756" s="9"/>
      <c r="GG756" s="9"/>
      <c r="GH756" s="9"/>
      <c r="GI756" s="9"/>
      <c r="GJ756" s="9"/>
      <c r="GK756" s="9"/>
      <c r="GL756" s="9"/>
      <c r="GM756" s="9"/>
      <c r="GN756" s="9"/>
      <c r="GO756" s="9"/>
      <c r="GP756" s="9"/>
      <c r="GQ756" s="9"/>
    </row>
    <row r="757" spans="2:199" ht="15"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  <c r="EI757" s="9"/>
      <c r="EJ757" s="9"/>
      <c r="EK757" s="9"/>
      <c r="EL757" s="9"/>
      <c r="EM757" s="9"/>
      <c r="EN757" s="9"/>
      <c r="EO757" s="9"/>
      <c r="EP757" s="9"/>
      <c r="EQ757" s="9"/>
      <c r="ER757" s="9"/>
      <c r="ES757" s="9"/>
      <c r="ET757" s="9"/>
      <c r="EU757" s="9"/>
      <c r="EV757" s="9"/>
      <c r="EW757" s="9"/>
      <c r="EX757" s="9"/>
      <c r="EY757" s="9"/>
      <c r="EZ757" s="9"/>
      <c r="FA757" s="9"/>
      <c r="FB757" s="9"/>
      <c r="FC757" s="9"/>
      <c r="FD757" s="9"/>
      <c r="FE757" s="9"/>
      <c r="FF757" s="9"/>
      <c r="FG757" s="9"/>
      <c r="FH757" s="9"/>
      <c r="FI757" s="9"/>
      <c r="FJ757" s="9"/>
      <c r="FK757" s="9"/>
      <c r="FL757" s="9"/>
      <c r="FM757" s="9"/>
      <c r="FN757" s="9"/>
      <c r="FO757" s="9"/>
      <c r="FP757" s="9"/>
      <c r="FQ757" s="9"/>
      <c r="FR757" s="9"/>
      <c r="FS757" s="9"/>
      <c r="FT757" s="9"/>
      <c r="FU757" s="9"/>
      <c r="FV757" s="9"/>
      <c r="FW757" s="9"/>
      <c r="FX757" s="9"/>
      <c r="FY757" s="9"/>
      <c r="FZ757" s="9"/>
      <c r="GA757" s="9"/>
      <c r="GB757" s="9"/>
      <c r="GC757" s="9"/>
      <c r="GD757" s="9"/>
      <c r="GE757" s="9"/>
      <c r="GF757" s="9"/>
      <c r="GG757" s="9"/>
      <c r="GH757" s="9"/>
      <c r="GI757" s="9"/>
      <c r="GJ757" s="9"/>
      <c r="GK757" s="9"/>
      <c r="GL757" s="9"/>
      <c r="GM757" s="9"/>
      <c r="GN757" s="9"/>
      <c r="GO757" s="9"/>
      <c r="GP757" s="9"/>
      <c r="GQ757" s="9"/>
    </row>
    <row r="758" spans="2:199" ht="15"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  <c r="EI758" s="9"/>
      <c r="EJ758" s="9"/>
      <c r="EK758" s="9"/>
      <c r="EL758" s="9"/>
      <c r="EM758" s="9"/>
      <c r="EN758" s="9"/>
      <c r="EO758" s="9"/>
      <c r="EP758" s="9"/>
      <c r="EQ758" s="9"/>
      <c r="ER758" s="9"/>
      <c r="ES758" s="9"/>
      <c r="ET758" s="9"/>
      <c r="EU758" s="9"/>
      <c r="EV758" s="9"/>
      <c r="EW758" s="9"/>
      <c r="EX758" s="9"/>
      <c r="EY758" s="9"/>
      <c r="EZ758" s="9"/>
      <c r="FA758" s="9"/>
      <c r="FB758" s="9"/>
      <c r="FC758" s="9"/>
      <c r="FD758" s="9"/>
      <c r="FE758" s="9"/>
      <c r="FF758" s="9"/>
      <c r="FG758" s="9"/>
      <c r="FH758" s="9"/>
      <c r="FI758" s="9"/>
      <c r="FJ758" s="9"/>
      <c r="FK758" s="9"/>
      <c r="FL758" s="9"/>
      <c r="FM758" s="9"/>
      <c r="FN758" s="9"/>
      <c r="FO758" s="9"/>
      <c r="FP758" s="9"/>
      <c r="FQ758" s="9"/>
      <c r="FR758" s="9"/>
      <c r="FS758" s="9"/>
      <c r="FT758" s="9"/>
      <c r="FU758" s="9"/>
      <c r="FV758" s="9"/>
      <c r="FW758" s="9"/>
      <c r="FX758" s="9"/>
      <c r="FY758" s="9"/>
      <c r="FZ758" s="9"/>
      <c r="GA758" s="9"/>
      <c r="GB758" s="9"/>
      <c r="GC758" s="9"/>
      <c r="GD758" s="9"/>
      <c r="GE758" s="9"/>
      <c r="GF758" s="9"/>
      <c r="GG758" s="9"/>
      <c r="GH758" s="9"/>
      <c r="GI758" s="9"/>
      <c r="GJ758" s="9"/>
      <c r="GK758" s="9"/>
      <c r="GL758" s="9"/>
      <c r="GM758" s="9"/>
      <c r="GN758" s="9"/>
      <c r="GO758" s="9"/>
      <c r="GP758" s="9"/>
      <c r="GQ758" s="9"/>
    </row>
    <row r="759" spans="2:199" ht="15"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/>
      <c r="EG759" s="9"/>
      <c r="EH759" s="9"/>
      <c r="EI759" s="9"/>
      <c r="EJ759" s="9"/>
      <c r="EK759" s="9"/>
      <c r="EL759" s="9"/>
      <c r="EM759" s="9"/>
      <c r="EN759" s="9"/>
      <c r="EO759" s="9"/>
      <c r="EP759" s="9"/>
      <c r="EQ759" s="9"/>
      <c r="ER759" s="9"/>
      <c r="ES759" s="9"/>
      <c r="ET759" s="9"/>
      <c r="EU759" s="9"/>
      <c r="EV759" s="9"/>
      <c r="EW759" s="9"/>
      <c r="EX759" s="9"/>
      <c r="EY759" s="9"/>
      <c r="EZ759" s="9"/>
      <c r="FA759" s="9"/>
      <c r="FB759" s="9"/>
      <c r="FC759" s="9"/>
      <c r="FD759" s="9"/>
      <c r="FE759" s="9"/>
      <c r="FF759" s="9"/>
      <c r="FG759" s="9"/>
      <c r="FH759" s="9"/>
      <c r="FI759" s="9"/>
      <c r="FJ759" s="9"/>
      <c r="FK759" s="9"/>
      <c r="FL759" s="9"/>
      <c r="FM759" s="9"/>
      <c r="FN759" s="9"/>
      <c r="FO759" s="9"/>
      <c r="FP759" s="9"/>
      <c r="FQ759" s="9"/>
      <c r="FR759" s="9"/>
      <c r="FS759" s="9"/>
      <c r="FT759" s="9"/>
      <c r="FU759" s="9"/>
      <c r="FV759" s="9"/>
      <c r="FW759" s="9"/>
      <c r="FX759" s="9"/>
      <c r="FY759" s="9"/>
      <c r="FZ759" s="9"/>
      <c r="GA759" s="9"/>
      <c r="GB759" s="9"/>
      <c r="GC759" s="9"/>
      <c r="GD759" s="9"/>
      <c r="GE759" s="9"/>
      <c r="GF759" s="9"/>
      <c r="GG759" s="9"/>
      <c r="GH759" s="9"/>
      <c r="GI759" s="9"/>
      <c r="GJ759" s="9"/>
      <c r="GK759" s="9"/>
      <c r="GL759" s="9"/>
      <c r="GM759" s="9"/>
      <c r="GN759" s="9"/>
      <c r="GO759" s="9"/>
      <c r="GP759" s="9"/>
      <c r="GQ759" s="9"/>
    </row>
    <row r="760" spans="2:199" ht="15"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  <c r="EH760" s="9"/>
      <c r="EI760" s="9"/>
      <c r="EJ760" s="9"/>
      <c r="EK760" s="9"/>
      <c r="EL760" s="9"/>
      <c r="EM760" s="9"/>
      <c r="EN760" s="9"/>
      <c r="EO760" s="9"/>
      <c r="EP760" s="9"/>
      <c r="EQ760" s="9"/>
      <c r="ER760" s="9"/>
      <c r="ES760" s="9"/>
      <c r="ET760" s="9"/>
      <c r="EU760" s="9"/>
      <c r="EV760" s="9"/>
      <c r="EW760" s="9"/>
      <c r="EX760" s="9"/>
      <c r="EY760" s="9"/>
      <c r="EZ760" s="9"/>
      <c r="FA760" s="9"/>
      <c r="FB760" s="9"/>
      <c r="FC760" s="9"/>
      <c r="FD760" s="9"/>
      <c r="FE760" s="9"/>
      <c r="FF760" s="9"/>
      <c r="FG760" s="9"/>
      <c r="FH760" s="9"/>
      <c r="FI760" s="9"/>
      <c r="FJ760" s="9"/>
      <c r="FK760" s="9"/>
      <c r="FL760" s="9"/>
      <c r="FM760" s="9"/>
      <c r="FN760" s="9"/>
      <c r="FO760" s="9"/>
      <c r="FP760" s="9"/>
      <c r="FQ760" s="9"/>
      <c r="FR760" s="9"/>
      <c r="FS760" s="9"/>
      <c r="FT760" s="9"/>
      <c r="FU760" s="9"/>
      <c r="FV760" s="9"/>
      <c r="FW760" s="9"/>
      <c r="FX760" s="9"/>
      <c r="FY760" s="9"/>
      <c r="FZ760" s="9"/>
      <c r="GA760" s="9"/>
      <c r="GB760" s="9"/>
      <c r="GC760" s="9"/>
      <c r="GD760" s="9"/>
      <c r="GE760" s="9"/>
      <c r="GF760" s="9"/>
      <c r="GG760" s="9"/>
      <c r="GH760" s="9"/>
      <c r="GI760" s="9"/>
      <c r="GJ760" s="9"/>
      <c r="GK760" s="9"/>
      <c r="GL760" s="9"/>
      <c r="GM760" s="9"/>
      <c r="GN760" s="9"/>
      <c r="GO760" s="9"/>
      <c r="GP760" s="9"/>
      <c r="GQ760" s="9"/>
    </row>
    <row r="761" spans="2:199" ht="15"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  <c r="EI761" s="9"/>
      <c r="EJ761" s="9"/>
      <c r="EK761" s="9"/>
      <c r="EL761" s="9"/>
      <c r="EM761" s="9"/>
      <c r="EN761" s="9"/>
      <c r="EO761" s="9"/>
      <c r="EP761" s="9"/>
      <c r="EQ761" s="9"/>
      <c r="ER761" s="9"/>
      <c r="ES761" s="9"/>
      <c r="ET761" s="9"/>
      <c r="EU761" s="9"/>
      <c r="EV761" s="9"/>
      <c r="EW761" s="9"/>
      <c r="EX761" s="9"/>
      <c r="EY761" s="9"/>
      <c r="EZ761" s="9"/>
      <c r="FA761" s="9"/>
      <c r="FB761" s="9"/>
      <c r="FC761" s="9"/>
      <c r="FD761" s="9"/>
      <c r="FE761" s="9"/>
      <c r="FF761" s="9"/>
      <c r="FG761" s="9"/>
      <c r="FH761" s="9"/>
      <c r="FI761" s="9"/>
      <c r="FJ761" s="9"/>
      <c r="FK761" s="9"/>
      <c r="FL761" s="9"/>
      <c r="FM761" s="9"/>
      <c r="FN761" s="9"/>
      <c r="FO761" s="9"/>
      <c r="FP761" s="9"/>
      <c r="FQ761" s="9"/>
      <c r="FR761" s="9"/>
      <c r="FS761" s="9"/>
      <c r="FT761" s="9"/>
      <c r="FU761" s="9"/>
      <c r="FV761" s="9"/>
      <c r="FW761" s="9"/>
      <c r="FX761" s="9"/>
      <c r="FY761" s="9"/>
      <c r="FZ761" s="9"/>
      <c r="GA761" s="9"/>
      <c r="GB761" s="9"/>
      <c r="GC761" s="9"/>
      <c r="GD761" s="9"/>
      <c r="GE761" s="9"/>
      <c r="GF761" s="9"/>
      <c r="GG761" s="9"/>
      <c r="GH761" s="9"/>
      <c r="GI761" s="9"/>
      <c r="GJ761" s="9"/>
      <c r="GK761" s="9"/>
      <c r="GL761" s="9"/>
      <c r="GM761" s="9"/>
      <c r="GN761" s="9"/>
      <c r="GO761" s="9"/>
      <c r="GP761" s="9"/>
      <c r="GQ761" s="9"/>
    </row>
    <row r="762" spans="2:199" ht="15"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  <c r="ER762" s="9"/>
      <c r="ES762" s="9"/>
      <c r="ET762" s="9"/>
      <c r="EU762" s="9"/>
      <c r="EV762" s="9"/>
      <c r="EW762" s="9"/>
      <c r="EX762" s="9"/>
      <c r="EY762" s="9"/>
      <c r="EZ762" s="9"/>
      <c r="FA762" s="9"/>
      <c r="FB762" s="9"/>
      <c r="FC762" s="9"/>
      <c r="FD762" s="9"/>
      <c r="FE762" s="9"/>
      <c r="FF762" s="9"/>
      <c r="FG762" s="9"/>
      <c r="FH762" s="9"/>
      <c r="FI762" s="9"/>
      <c r="FJ762" s="9"/>
      <c r="FK762" s="9"/>
      <c r="FL762" s="9"/>
      <c r="FM762" s="9"/>
      <c r="FN762" s="9"/>
      <c r="FO762" s="9"/>
      <c r="FP762" s="9"/>
      <c r="FQ762" s="9"/>
      <c r="FR762" s="9"/>
      <c r="FS762" s="9"/>
      <c r="FT762" s="9"/>
      <c r="FU762" s="9"/>
      <c r="FV762" s="9"/>
      <c r="FW762" s="9"/>
      <c r="FX762" s="9"/>
      <c r="FY762" s="9"/>
      <c r="FZ762" s="9"/>
      <c r="GA762" s="9"/>
      <c r="GB762" s="9"/>
      <c r="GC762" s="9"/>
      <c r="GD762" s="9"/>
      <c r="GE762" s="9"/>
      <c r="GF762" s="9"/>
      <c r="GG762" s="9"/>
      <c r="GH762" s="9"/>
      <c r="GI762" s="9"/>
      <c r="GJ762" s="9"/>
      <c r="GK762" s="9"/>
      <c r="GL762" s="9"/>
      <c r="GM762" s="9"/>
      <c r="GN762" s="9"/>
      <c r="GO762" s="9"/>
      <c r="GP762" s="9"/>
      <c r="GQ762" s="9"/>
    </row>
    <row r="763" spans="2:199" ht="15"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  <c r="EP763" s="9"/>
      <c r="EQ763" s="9"/>
      <c r="ER763" s="9"/>
      <c r="ES763" s="9"/>
      <c r="ET763" s="9"/>
      <c r="EU763" s="9"/>
      <c r="EV763" s="9"/>
      <c r="EW763" s="9"/>
      <c r="EX763" s="9"/>
      <c r="EY763" s="9"/>
      <c r="EZ763" s="9"/>
      <c r="FA763" s="9"/>
      <c r="FB763" s="9"/>
      <c r="FC763" s="9"/>
      <c r="FD763" s="9"/>
      <c r="FE763" s="9"/>
      <c r="FF763" s="9"/>
      <c r="FG763" s="9"/>
      <c r="FH763" s="9"/>
      <c r="FI763" s="9"/>
      <c r="FJ763" s="9"/>
      <c r="FK763" s="9"/>
      <c r="FL763" s="9"/>
      <c r="FM763" s="9"/>
      <c r="FN763" s="9"/>
      <c r="FO763" s="9"/>
      <c r="FP763" s="9"/>
      <c r="FQ763" s="9"/>
      <c r="FR763" s="9"/>
      <c r="FS763" s="9"/>
      <c r="FT763" s="9"/>
      <c r="FU763" s="9"/>
      <c r="FV763" s="9"/>
      <c r="FW763" s="9"/>
      <c r="FX763" s="9"/>
      <c r="FY763" s="9"/>
      <c r="FZ763" s="9"/>
      <c r="GA763" s="9"/>
      <c r="GB763" s="9"/>
      <c r="GC763" s="9"/>
      <c r="GD763" s="9"/>
      <c r="GE763" s="9"/>
      <c r="GF763" s="9"/>
      <c r="GG763" s="9"/>
      <c r="GH763" s="9"/>
      <c r="GI763" s="9"/>
      <c r="GJ763" s="9"/>
      <c r="GK763" s="9"/>
      <c r="GL763" s="9"/>
      <c r="GM763" s="9"/>
      <c r="GN763" s="9"/>
      <c r="GO763" s="9"/>
      <c r="GP763" s="9"/>
      <c r="GQ763" s="9"/>
    </row>
    <row r="764" spans="2:199" ht="15"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  <c r="EC764" s="9"/>
      <c r="ED764" s="9"/>
      <c r="EE764" s="9"/>
      <c r="EF764" s="9"/>
      <c r="EG764" s="9"/>
      <c r="EH764" s="9"/>
      <c r="EI764" s="9"/>
      <c r="EJ764" s="9"/>
      <c r="EK764" s="9"/>
      <c r="EL764" s="9"/>
      <c r="EM764" s="9"/>
      <c r="EN764" s="9"/>
      <c r="EO764" s="9"/>
      <c r="EP764" s="9"/>
      <c r="EQ764" s="9"/>
      <c r="ER764" s="9"/>
      <c r="ES764" s="9"/>
      <c r="ET764" s="9"/>
      <c r="EU764" s="9"/>
      <c r="EV764" s="9"/>
      <c r="EW764" s="9"/>
      <c r="EX764" s="9"/>
      <c r="EY764" s="9"/>
      <c r="EZ764" s="9"/>
      <c r="FA764" s="9"/>
      <c r="FB764" s="9"/>
      <c r="FC764" s="9"/>
      <c r="FD764" s="9"/>
      <c r="FE764" s="9"/>
      <c r="FF764" s="9"/>
      <c r="FG764" s="9"/>
      <c r="FH764" s="9"/>
      <c r="FI764" s="9"/>
      <c r="FJ764" s="9"/>
      <c r="FK764" s="9"/>
      <c r="FL764" s="9"/>
      <c r="FM764" s="9"/>
      <c r="FN764" s="9"/>
      <c r="FO764" s="9"/>
      <c r="FP764" s="9"/>
      <c r="FQ764" s="9"/>
      <c r="FR764" s="9"/>
      <c r="FS764" s="9"/>
      <c r="FT764" s="9"/>
      <c r="FU764" s="9"/>
      <c r="FV764" s="9"/>
      <c r="FW764" s="9"/>
      <c r="FX764" s="9"/>
      <c r="FY764" s="9"/>
      <c r="FZ764" s="9"/>
      <c r="GA764" s="9"/>
      <c r="GB764" s="9"/>
      <c r="GC764" s="9"/>
      <c r="GD764" s="9"/>
      <c r="GE764" s="9"/>
      <c r="GF764" s="9"/>
      <c r="GG764" s="9"/>
      <c r="GH764" s="9"/>
      <c r="GI764" s="9"/>
      <c r="GJ764" s="9"/>
      <c r="GK764" s="9"/>
      <c r="GL764" s="9"/>
      <c r="GM764" s="9"/>
      <c r="GN764" s="9"/>
      <c r="GO764" s="9"/>
      <c r="GP764" s="9"/>
      <c r="GQ764" s="9"/>
    </row>
    <row r="765" spans="2:199" ht="15"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  <c r="EH765" s="9"/>
      <c r="EI765" s="9"/>
      <c r="EJ765" s="9"/>
      <c r="EK765" s="9"/>
      <c r="EL765" s="9"/>
      <c r="EM765" s="9"/>
      <c r="EN765" s="9"/>
      <c r="EO765" s="9"/>
      <c r="EP765" s="9"/>
      <c r="EQ765" s="9"/>
      <c r="ER765" s="9"/>
      <c r="ES765" s="9"/>
      <c r="ET765" s="9"/>
      <c r="EU765" s="9"/>
      <c r="EV765" s="9"/>
      <c r="EW765" s="9"/>
      <c r="EX765" s="9"/>
      <c r="EY765" s="9"/>
      <c r="EZ765" s="9"/>
      <c r="FA765" s="9"/>
      <c r="FB765" s="9"/>
      <c r="FC765" s="9"/>
      <c r="FD765" s="9"/>
      <c r="FE765" s="9"/>
      <c r="FF765" s="9"/>
      <c r="FG765" s="9"/>
      <c r="FH765" s="9"/>
      <c r="FI765" s="9"/>
      <c r="FJ765" s="9"/>
      <c r="FK765" s="9"/>
      <c r="FL765" s="9"/>
      <c r="FM765" s="9"/>
      <c r="FN765" s="9"/>
      <c r="FO765" s="9"/>
      <c r="FP765" s="9"/>
      <c r="FQ765" s="9"/>
      <c r="FR765" s="9"/>
      <c r="FS765" s="9"/>
      <c r="FT765" s="9"/>
      <c r="FU765" s="9"/>
      <c r="FV765" s="9"/>
      <c r="FW765" s="9"/>
      <c r="FX765" s="9"/>
      <c r="FY765" s="9"/>
      <c r="FZ765" s="9"/>
      <c r="GA765" s="9"/>
      <c r="GB765" s="9"/>
      <c r="GC765" s="9"/>
      <c r="GD765" s="9"/>
      <c r="GE765" s="9"/>
      <c r="GF765" s="9"/>
      <c r="GG765" s="9"/>
      <c r="GH765" s="9"/>
      <c r="GI765" s="9"/>
      <c r="GJ765" s="9"/>
      <c r="GK765" s="9"/>
      <c r="GL765" s="9"/>
      <c r="GM765" s="9"/>
      <c r="GN765" s="9"/>
      <c r="GO765" s="9"/>
      <c r="GP765" s="9"/>
      <c r="GQ765" s="9"/>
    </row>
    <row r="766" spans="2:199" ht="15"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  <c r="EF766" s="9"/>
      <c r="EG766" s="9"/>
      <c r="EH766" s="9"/>
      <c r="EI766" s="9"/>
      <c r="EJ766" s="9"/>
      <c r="EK766" s="9"/>
      <c r="EL766" s="9"/>
      <c r="EM766" s="9"/>
      <c r="EN766" s="9"/>
      <c r="EO766" s="9"/>
      <c r="EP766" s="9"/>
      <c r="EQ766" s="9"/>
      <c r="ER766" s="9"/>
      <c r="ES766" s="9"/>
      <c r="ET766" s="9"/>
      <c r="EU766" s="9"/>
      <c r="EV766" s="9"/>
      <c r="EW766" s="9"/>
      <c r="EX766" s="9"/>
      <c r="EY766" s="9"/>
      <c r="EZ766" s="9"/>
      <c r="FA766" s="9"/>
      <c r="FB766" s="9"/>
      <c r="FC766" s="9"/>
      <c r="FD766" s="9"/>
      <c r="FE766" s="9"/>
      <c r="FF766" s="9"/>
      <c r="FG766" s="9"/>
      <c r="FH766" s="9"/>
      <c r="FI766" s="9"/>
      <c r="FJ766" s="9"/>
      <c r="FK766" s="9"/>
      <c r="FL766" s="9"/>
      <c r="FM766" s="9"/>
      <c r="FN766" s="9"/>
      <c r="FO766" s="9"/>
      <c r="FP766" s="9"/>
      <c r="FQ766" s="9"/>
      <c r="FR766" s="9"/>
      <c r="FS766" s="9"/>
      <c r="FT766" s="9"/>
      <c r="FU766" s="9"/>
      <c r="FV766" s="9"/>
      <c r="FW766" s="9"/>
      <c r="FX766" s="9"/>
      <c r="FY766" s="9"/>
      <c r="FZ766" s="9"/>
      <c r="GA766" s="9"/>
      <c r="GB766" s="9"/>
      <c r="GC766" s="9"/>
      <c r="GD766" s="9"/>
      <c r="GE766" s="9"/>
      <c r="GF766" s="9"/>
      <c r="GG766" s="9"/>
      <c r="GH766" s="9"/>
      <c r="GI766" s="9"/>
      <c r="GJ766" s="9"/>
      <c r="GK766" s="9"/>
      <c r="GL766" s="9"/>
      <c r="GM766" s="9"/>
      <c r="GN766" s="9"/>
      <c r="GO766" s="9"/>
      <c r="GP766" s="9"/>
      <c r="GQ766" s="9"/>
    </row>
    <row r="767" spans="2:199" ht="15"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  <c r="EI767" s="9"/>
      <c r="EJ767" s="9"/>
      <c r="EK767" s="9"/>
      <c r="EL767" s="9"/>
      <c r="EM767" s="9"/>
      <c r="EN767" s="9"/>
      <c r="EO767" s="9"/>
      <c r="EP767" s="9"/>
      <c r="EQ767" s="9"/>
      <c r="ER767" s="9"/>
      <c r="ES767" s="9"/>
      <c r="ET767" s="9"/>
      <c r="EU767" s="9"/>
      <c r="EV767" s="9"/>
      <c r="EW767" s="9"/>
      <c r="EX767" s="9"/>
      <c r="EY767" s="9"/>
      <c r="EZ767" s="9"/>
      <c r="FA767" s="9"/>
      <c r="FB767" s="9"/>
      <c r="FC767" s="9"/>
      <c r="FD767" s="9"/>
      <c r="FE767" s="9"/>
      <c r="FF767" s="9"/>
      <c r="FG767" s="9"/>
      <c r="FH767" s="9"/>
      <c r="FI767" s="9"/>
      <c r="FJ767" s="9"/>
      <c r="FK767" s="9"/>
      <c r="FL767" s="9"/>
      <c r="FM767" s="9"/>
      <c r="FN767" s="9"/>
      <c r="FO767" s="9"/>
      <c r="FP767" s="9"/>
      <c r="FQ767" s="9"/>
      <c r="FR767" s="9"/>
      <c r="FS767" s="9"/>
      <c r="FT767" s="9"/>
      <c r="FU767" s="9"/>
      <c r="FV767" s="9"/>
      <c r="FW767" s="9"/>
      <c r="FX767" s="9"/>
      <c r="FY767" s="9"/>
      <c r="FZ767" s="9"/>
      <c r="GA767" s="9"/>
      <c r="GB767" s="9"/>
      <c r="GC767" s="9"/>
      <c r="GD767" s="9"/>
      <c r="GE767" s="9"/>
      <c r="GF767" s="9"/>
      <c r="GG767" s="9"/>
      <c r="GH767" s="9"/>
      <c r="GI767" s="9"/>
      <c r="GJ767" s="9"/>
      <c r="GK767" s="9"/>
      <c r="GL767" s="9"/>
      <c r="GM767" s="9"/>
      <c r="GN767" s="9"/>
      <c r="GO767" s="9"/>
      <c r="GP767" s="9"/>
      <c r="GQ767" s="9"/>
    </row>
    <row r="768" spans="2:199" ht="15"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  <c r="EM768" s="9"/>
      <c r="EN768" s="9"/>
      <c r="EO768" s="9"/>
      <c r="EP768" s="9"/>
      <c r="EQ768" s="9"/>
      <c r="ER768" s="9"/>
      <c r="ES768" s="9"/>
      <c r="ET768" s="9"/>
      <c r="EU768" s="9"/>
      <c r="EV768" s="9"/>
      <c r="EW768" s="9"/>
      <c r="EX768" s="9"/>
      <c r="EY768" s="9"/>
      <c r="EZ768" s="9"/>
      <c r="FA768" s="9"/>
      <c r="FB768" s="9"/>
      <c r="FC768" s="9"/>
      <c r="FD768" s="9"/>
      <c r="FE768" s="9"/>
      <c r="FF768" s="9"/>
      <c r="FG768" s="9"/>
      <c r="FH768" s="9"/>
      <c r="FI768" s="9"/>
      <c r="FJ768" s="9"/>
      <c r="FK768" s="9"/>
      <c r="FL768" s="9"/>
      <c r="FM768" s="9"/>
      <c r="FN768" s="9"/>
      <c r="FO768" s="9"/>
      <c r="FP768" s="9"/>
      <c r="FQ768" s="9"/>
      <c r="FR768" s="9"/>
      <c r="FS768" s="9"/>
      <c r="FT768" s="9"/>
      <c r="FU768" s="9"/>
      <c r="FV768" s="9"/>
      <c r="FW768" s="9"/>
      <c r="FX768" s="9"/>
      <c r="FY768" s="9"/>
      <c r="FZ768" s="9"/>
      <c r="GA768" s="9"/>
      <c r="GB768" s="9"/>
      <c r="GC768" s="9"/>
      <c r="GD768" s="9"/>
      <c r="GE768" s="9"/>
      <c r="GF768" s="9"/>
      <c r="GG768" s="9"/>
      <c r="GH768" s="9"/>
      <c r="GI768" s="9"/>
      <c r="GJ768" s="9"/>
      <c r="GK768" s="9"/>
      <c r="GL768" s="9"/>
      <c r="GM768" s="9"/>
      <c r="GN768" s="9"/>
      <c r="GO768" s="9"/>
      <c r="GP768" s="9"/>
      <c r="GQ768" s="9"/>
    </row>
    <row r="769" spans="2:199" ht="15"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  <c r="EH769" s="9"/>
      <c r="EI769" s="9"/>
      <c r="EJ769" s="9"/>
      <c r="EK769" s="9"/>
      <c r="EL769" s="9"/>
      <c r="EM769" s="9"/>
      <c r="EN769" s="9"/>
      <c r="EO769" s="9"/>
      <c r="EP769" s="9"/>
      <c r="EQ769" s="9"/>
      <c r="ER769" s="9"/>
      <c r="ES769" s="9"/>
      <c r="ET769" s="9"/>
      <c r="EU769" s="9"/>
      <c r="EV769" s="9"/>
      <c r="EW769" s="9"/>
      <c r="EX769" s="9"/>
      <c r="EY769" s="9"/>
      <c r="EZ769" s="9"/>
      <c r="FA769" s="9"/>
      <c r="FB769" s="9"/>
      <c r="FC769" s="9"/>
      <c r="FD769" s="9"/>
      <c r="FE769" s="9"/>
      <c r="FF769" s="9"/>
      <c r="FG769" s="9"/>
      <c r="FH769" s="9"/>
      <c r="FI769" s="9"/>
      <c r="FJ769" s="9"/>
      <c r="FK769" s="9"/>
      <c r="FL769" s="9"/>
      <c r="FM769" s="9"/>
      <c r="FN769" s="9"/>
      <c r="FO769" s="9"/>
      <c r="FP769" s="9"/>
      <c r="FQ769" s="9"/>
      <c r="FR769" s="9"/>
      <c r="FS769" s="9"/>
      <c r="FT769" s="9"/>
      <c r="FU769" s="9"/>
      <c r="FV769" s="9"/>
      <c r="FW769" s="9"/>
      <c r="FX769" s="9"/>
      <c r="FY769" s="9"/>
      <c r="FZ769" s="9"/>
      <c r="GA769" s="9"/>
      <c r="GB769" s="9"/>
      <c r="GC769" s="9"/>
      <c r="GD769" s="9"/>
      <c r="GE769" s="9"/>
      <c r="GF769" s="9"/>
      <c r="GG769" s="9"/>
      <c r="GH769" s="9"/>
      <c r="GI769" s="9"/>
      <c r="GJ769" s="9"/>
      <c r="GK769" s="9"/>
      <c r="GL769" s="9"/>
      <c r="GM769" s="9"/>
      <c r="GN769" s="9"/>
      <c r="GO769" s="9"/>
      <c r="GP769" s="9"/>
      <c r="GQ769" s="9"/>
    </row>
    <row r="770" spans="2:199" ht="15"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  <c r="EO770" s="9"/>
      <c r="EP770" s="9"/>
      <c r="EQ770" s="9"/>
      <c r="ER770" s="9"/>
      <c r="ES770" s="9"/>
      <c r="ET770" s="9"/>
      <c r="EU770" s="9"/>
      <c r="EV770" s="9"/>
      <c r="EW770" s="9"/>
      <c r="EX770" s="9"/>
      <c r="EY770" s="9"/>
      <c r="EZ770" s="9"/>
      <c r="FA770" s="9"/>
      <c r="FB770" s="9"/>
      <c r="FC770" s="9"/>
      <c r="FD770" s="9"/>
      <c r="FE770" s="9"/>
      <c r="FF770" s="9"/>
      <c r="FG770" s="9"/>
      <c r="FH770" s="9"/>
      <c r="FI770" s="9"/>
      <c r="FJ770" s="9"/>
      <c r="FK770" s="9"/>
      <c r="FL770" s="9"/>
      <c r="FM770" s="9"/>
      <c r="FN770" s="9"/>
      <c r="FO770" s="9"/>
      <c r="FP770" s="9"/>
      <c r="FQ770" s="9"/>
      <c r="FR770" s="9"/>
      <c r="FS770" s="9"/>
      <c r="FT770" s="9"/>
      <c r="FU770" s="9"/>
      <c r="FV770" s="9"/>
      <c r="FW770" s="9"/>
      <c r="FX770" s="9"/>
      <c r="FY770" s="9"/>
      <c r="FZ770" s="9"/>
      <c r="GA770" s="9"/>
      <c r="GB770" s="9"/>
      <c r="GC770" s="9"/>
      <c r="GD770" s="9"/>
      <c r="GE770" s="9"/>
      <c r="GF770" s="9"/>
      <c r="GG770" s="9"/>
      <c r="GH770" s="9"/>
      <c r="GI770" s="9"/>
      <c r="GJ770" s="9"/>
      <c r="GK770" s="9"/>
      <c r="GL770" s="9"/>
      <c r="GM770" s="9"/>
      <c r="GN770" s="9"/>
      <c r="GO770" s="9"/>
      <c r="GP770" s="9"/>
      <c r="GQ770" s="9"/>
    </row>
    <row r="771" spans="2:199" ht="15"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  <c r="EF771" s="9"/>
      <c r="EG771" s="9"/>
      <c r="EH771" s="9"/>
      <c r="EI771" s="9"/>
      <c r="EJ771" s="9"/>
      <c r="EK771" s="9"/>
      <c r="EL771" s="9"/>
      <c r="EM771" s="9"/>
      <c r="EN771" s="9"/>
      <c r="EO771" s="9"/>
      <c r="EP771" s="9"/>
      <c r="EQ771" s="9"/>
      <c r="ER771" s="9"/>
      <c r="ES771" s="9"/>
      <c r="ET771" s="9"/>
      <c r="EU771" s="9"/>
      <c r="EV771" s="9"/>
      <c r="EW771" s="9"/>
      <c r="EX771" s="9"/>
      <c r="EY771" s="9"/>
      <c r="EZ771" s="9"/>
      <c r="FA771" s="9"/>
      <c r="FB771" s="9"/>
      <c r="FC771" s="9"/>
      <c r="FD771" s="9"/>
      <c r="FE771" s="9"/>
      <c r="FF771" s="9"/>
      <c r="FG771" s="9"/>
      <c r="FH771" s="9"/>
      <c r="FI771" s="9"/>
      <c r="FJ771" s="9"/>
      <c r="FK771" s="9"/>
      <c r="FL771" s="9"/>
      <c r="FM771" s="9"/>
      <c r="FN771" s="9"/>
      <c r="FO771" s="9"/>
      <c r="FP771" s="9"/>
      <c r="FQ771" s="9"/>
      <c r="FR771" s="9"/>
      <c r="FS771" s="9"/>
      <c r="FT771" s="9"/>
      <c r="FU771" s="9"/>
      <c r="FV771" s="9"/>
      <c r="FW771" s="9"/>
      <c r="FX771" s="9"/>
      <c r="FY771" s="9"/>
      <c r="FZ771" s="9"/>
      <c r="GA771" s="9"/>
      <c r="GB771" s="9"/>
      <c r="GC771" s="9"/>
      <c r="GD771" s="9"/>
      <c r="GE771" s="9"/>
      <c r="GF771" s="9"/>
      <c r="GG771" s="9"/>
      <c r="GH771" s="9"/>
      <c r="GI771" s="9"/>
      <c r="GJ771" s="9"/>
      <c r="GK771" s="9"/>
      <c r="GL771" s="9"/>
      <c r="GM771" s="9"/>
      <c r="GN771" s="9"/>
      <c r="GO771" s="9"/>
      <c r="GP771" s="9"/>
      <c r="GQ771" s="9"/>
    </row>
    <row r="772" spans="2:199" ht="15"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  <c r="EC772" s="9"/>
      <c r="ED772" s="9"/>
      <c r="EE772" s="9"/>
      <c r="EF772" s="9"/>
      <c r="EG772" s="9"/>
      <c r="EH772" s="9"/>
      <c r="EI772" s="9"/>
      <c r="EJ772" s="9"/>
      <c r="EK772" s="9"/>
      <c r="EL772" s="9"/>
      <c r="EM772" s="9"/>
      <c r="EN772" s="9"/>
      <c r="EO772" s="9"/>
      <c r="EP772" s="9"/>
      <c r="EQ772" s="9"/>
      <c r="ER772" s="9"/>
      <c r="ES772" s="9"/>
      <c r="ET772" s="9"/>
      <c r="EU772" s="9"/>
      <c r="EV772" s="9"/>
      <c r="EW772" s="9"/>
      <c r="EX772" s="9"/>
      <c r="EY772" s="9"/>
      <c r="EZ772" s="9"/>
      <c r="FA772" s="9"/>
      <c r="FB772" s="9"/>
      <c r="FC772" s="9"/>
      <c r="FD772" s="9"/>
      <c r="FE772" s="9"/>
      <c r="FF772" s="9"/>
      <c r="FG772" s="9"/>
      <c r="FH772" s="9"/>
      <c r="FI772" s="9"/>
      <c r="FJ772" s="9"/>
      <c r="FK772" s="9"/>
      <c r="FL772" s="9"/>
      <c r="FM772" s="9"/>
      <c r="FN772" s="9"/>
      <c r="FO772" s="9"/>
      <c r="FP772" s="9"/>
      <c r="FQ772" s="9"/>
      <c r="FR772" s="9"/>
      <c r="FS772" s="9"/>
      <c r="FT772" s="9"/>
      <c r="FU772" s="9"/>
      <c r="FV772" s="9"/>
      <c r="FW772" s="9"/>
      <c r="FX772" s="9"/>
      <c r="FY772" s="9"/>
      <c r="FZ772" s="9"/>
      <c r="GA772" s="9"/>
      <c r="GB772" s="9"/>
      <c r="GC772" s="9"/>
      <c r="GD772" s="9"/>
      <c r="GE772" s="9"/>
      <c r="GF772" s="9"/>
      <c r="GG772" s="9"/>
      <c r="GH772" s="9"/>
      <c r="GI772" s="9"/>
      <c r="GJ772" s="9"/>
      <c r="GK772" s="9"/>
      <c r="GL772" s="9"/>
      <c r="GM772" s="9"/>
      <c r="GN772" s="9"/>
      <c r="GO772" s="9"/>
      <c r="GP772" s="9"/>
      <c r="GQ772" s="9"/>
    </row>
    <row r="773" spans="2:199" ht="15"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  <c r="EC773" s="9"/>
      <c r="ED773" s="9"/>
      <c r="EE773" s="9"/>
      <c r="EF773" s="9"/>
      <c r="EG773" s="9"/>
      <c r="EH773" s="9"/>
      <c r="EI773" s="9"/>
      <c r="EJ773" s="9"/>
      <c r="EK773" s="9"/>
      <c r="EL773" s="9"/>
      <c r="EM773" s="9"/>
      <c r="EN773" s="9"/>
      <c r="EO773" s="9"/>
      <c r="EP773" s="9"/>
      <c r="EQ773" s="9"/>
      <c r="ER773" s="9"/>
      <c r="ES773" s="9"/>
      <c r="ET773" s="9"/>
      <c r="EU773" s="9"/>
      <c r="EV773" s="9"/>
      <c r="EW773" s="9"/>
      <c r="EX773" s="9"/>
      <c r="EY773" s="9"/>
      <c r="EZ773" s="9"/>
      <c r="FA773" s="9"/>
      <c r="FB773" s="9"/>
      <c r="FC773" s="9"/>
      <c r="FD773" s="9"/>
      <c r="FE773" s="9"/>
      <c r="FF773" s="9"/>
      <c r="FG773" s="9"/>
      <c r="FH773" s="9"/>
      <c r="FI773" s="9"/>
      <c r="FJ773" s="9"/>
      <c r="FK773" s="9"/>
      <c r="FL773" s="9"/>
      <c r="FM773" s="9"/>
      <c r="FN773" s="9"/>
      <c r="FO773" s="9"/>
      <c r="FP773" s="9"/>
      <c r="FQ773" s="9"/>
      <c r="FR773" s="9"/>
      <c r="FS773" s="9"/>
      <c r="FT773" s="9"/>
      <c r="FU773" s="9"/>
      <c r="FV773" s="9"/>
      <c r="FW773" s="9"/>
      <c r="FX773" s="9"/>
      <c r="FY773" s="9"/>
      <c r="FZ773" s="9"/>
      <c r="GA773" s="9"/>
      <c r="GB773" s="9"/>
      <c r="GC773" s="9"/>
      <c r="GD773" s="9"/>
      <c r="GE773" s="9"/>
      <c r="GF773" s="9"/>
      <c r="GG773" s="9"/>
      <c r="GH773" s="9"/>
      <c r="GI773" s="9"/>
      <c r="GJ773" s="9"/>
      <c r="GK773" s="9"/>
      <c r="GL773" s="9"/>
      <c r="GM773" s="9"/>
      <c r="GN773" s="9"/>
      <c r="GO773" s="9"/>
      <c r="GP773" s="9"/>
      <c r="GQ773" s="9"/>
    </row>
    <row r="774" spans="2:199" ht="15"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  <c r="EC774" s="9"/>
      <c r="ED774" s="9"/>
      <c r="EE774" s="9"/>
      <c r="EF774" s="9"/>
      <c r="EG774" s="9"/>
      <c r="EH774" s="9"/>
      <c r="EI774" s="9"/>
      <c r="EJ774" s="9"/>
      <c r="EK774" s="9"/>
      <c r="EL774" s="9"/>
      <c r="EM774" s="9"/>
      <c r="EN774" s="9"/>
      <c r="EO774" s="9"/>
      <c r="EP774" s="9"/>
      <c r="EQ774" s="9"/>
      <c r="ER774" s="9"/>
      <c r="ES774" s="9"/>
      <c r="ET774" s="9"/>
      <c r="EU774" s="9"/>
      <c r="EV774" s="9"/>
      <c r="EW774" s="9"/>
      <c r="EX774" s="9"/>
      <c r="EY774" s="9"/>
      <c r="EZ774" s="9"/>
      <c r="FA774" s="9"/>
      <c r="FB774" s="9"/>
      <c r="FC774" s="9"/>
      <c r="FD774" s="9"/>
      <c r="FE774" s="9"/>
      <c r="FF774" s="9"/>
      <c r="FG774" s="9"/>
      <c r="FH774" s="9"/>
      <c r="FI774" s="9"/>
      <c r="FJ774" s="9"/>
      <c r="FK774" s="9"/>
      <c r="FL774" s="9"/>
      <c r="FM774" s="9"/>
      <c r="FN774" s="9"/>
      <c r="FO774" s="9"/>
      <c r="FP774" s="9"/>
      <c r="FQ774" s="9"/>
      <c r="FR774" s="9"/>
      <c r="FS774" s="9"/>
      <c r="FT774" s="9"/>
      <c r="FU774" s="9"/>
      <c r="FV774" s="9"/>
      <c r="FW774" s="9"/>
      <c r="FX774" s="9"/>
      <c r="FY774" s="9"/>
      <c r="FZ774" s="9"/>
      <c r="GA774" s="9"/>
      <c r="GB774" s="9"/>
      <c r="GC774" s="9"/>
      <c r="GD774" s="9"/>
      <c r="GE774" s="9"/>
      <c r="GF774" s="9"/>
      <c r="GG774" s="9"/>
      <c r="GH774" s="9"/>
      <c r="GI774" s="9"/>
      <c r="GJ774" s="9"/>
      <c r="GK774" s="9"/>
      <c r="GL774" s="9"/>
      <c r="GM774" s="9"/>
      <c r="GN774" s="9"/>
      <c r="GO774" s="9"/>
      <c r="GP774" s="9"/>
      <c r="GQ774" s="9"/>
    </row>
    <row r="775" spans="2:199" ht="15"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  <c r="EH775" s="9"/>
      <c r="EI775" s="9"/>
      <c r="EJ775" s="9"/>
      <c r="EK775" s="9"/>
      <c r="EL775" s="9"/>
      <c r="EM775" s="9"/>
      <c r="EN775" s="9"/>
      <c r="EO775" s="9"/>
      <c r="EP775" s="9"/>
      <c r="EQ775" s="9"/>
      <c r="ER775" s="9"/>
      <c r="ES775" s="9"/>
      <c r="ET775" s="9"/>
      <c r="EU775" s="9"/>
      <c r="EV775" s="9"/>
      <c r="EW775" s="9"/>
      <c r="EX775" s="9"/>
      <c r="EY775" s="9"/>
      <c r="EZ775" s="9"/>
      <c r="FA775" s="9"/>
      <c r="FB775" s="9"/>
      <c r="FC775" s="9"/>
      <c r="FD775" s="9"/>
      <c r="FE775" s="9"/>
      <c r="FF775" s="9"/>
      <c r="FG775" s="9"/>
      <c r="FH775" s="9"/>
      <c r="FI775" s="9"/>
      <c r="FJ775" s="9"/>
      <c r="FK775" s="9"/>
      <c r="FL775" s="9"/>
      <c r="FM775" s="9"/>
      <c r="FN775" s="9"/>
      <c r="FO775" s="9"/>
      <c r="FP775" s="9"/>
      <c r="FQ775" s="9"/>
      <c r="FR775" s="9"/>
      <c r="FS775" s="9"/>
      <c r="FT775" s="9"/>
      <c r="FU775" s="9"/>
      <c r="FV775" s="9"/>
      <c r="FW775" s="9"/>
      <c r="FX775" s="9"/>
      <c r="FY775" s="9"/>
      <c r="FZ775" s="9"/>
      <c r="GA775" s="9"/>
      <c r="GB775" s="9"/>
      <c r="GC775" s="9"/>
      <c r="GD775" s="9"/>
      <c r="GE775" s="9"/>
      <c r="GF775" s="9"/>
      <c r="GG775" s="9"/>
      <c r="GH775" s="9"/>
      <c r="GI775" s="9"/>
      <c r="GJ775" s="9"/>
      <c r="GK775" s="9"/>
      <c r="GL775" s="9"/>
      <c r="GM775" s="9"/>
      <c r="GN775" s="9"/>
      <c r="GO775" s="9"/>
      <c r="GP775" s="9"/>
      <c r="GQ775" s="9"/>
    </row>
    <row r="776" spans="2:199" ht="15"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/>
      <c r="EG776" s="9"/>
      <c r="EH776" s="9"/>
      <c r="EI776" s="9"/>
      <c r="EJ776" s="9"/>
      <c r="EK776" s="9"/>
      <c r="EL776" s="9"/>
      <c r="EM776" s="9"/>
      <c r="EN776" s="9"/>
      <c r="EO776" s="9"/>
      <c r="EP776" s="9"/>
      <c r="EQ776" s="9"/>
      <c r="ER776" s="9"/>
      <c r="ES776" s="9"/>
      <c r="ET776" s="9"/>
      <c r="EU776" s="9"/>
      <c r="EV776" s="9"/>
      <c r="EW776" s="9"/>
      <c r="EX776" s="9"/>
      <c r="EY776" s="9"/>
      <c r="EZ776" s="9"/>
      <c r="FA776" s="9"/>
      <c r="FB776" s="9"/>
      <c r="FC776" s="9"/>
      <c r="FD776" s="9"/>
      <c r="FE776" s="9"/>
      <c r="FF776" s="9"/>
      <c r="FG776" s="9"/>
      <c r="FH776" s="9"/>
      <c r="FI776" s="9"/>
      <c r="FJ776" s="9"/>
      <c r="FK776" s="9"/>
      <c r="FL776" s="9"/>
      <c r="FM776" s="9"/>
      <c r="FN776" s="9"/>
      <c r="FO776" s="9"/>
      <c r="FP776" s="9"/>
      <c r="FQ776" s="9"/>
      <c r="FR776" s="9"/>
      <c r="FS776" s="9"/>
      <c r="FT776" s="9"/>
      <c r="FU776" s="9"/>
      <c r="FV776" s="9"/>
      <c r="FW776" s="9"/>
      <c r="FX776" s="9"/>
      <c r="FY776" s="9"/>
      <c r="FZ776" s="9"/>
      <c r="GA776" s="9"/>
      <c r="GB776" s="9"/>
      <c r="GC776" s="9"/>
      <c r="GD776" s="9"/>
      <c r="GE776" s="9"/>
      <c r="GF776" s="9"/>
      <c r="GG776" s="9"/>
      <c r="GH776" s="9"/>
      <c r="GI776" s="9"/>
      <c r="GJ776" s="9"/>
      <c r="GK776" s="9"/>
      <c r="GL776" s="9"/>
      <c r="GM776" s="9"/>
      <c r="GN776" s="9"/>
      <c r="GO776" s="9"/>
      <c r="GP776" s="9"/>
      <c r="GQ776" s="9"/>
    </row>
    <row r="777" spans="2:199" ht="15"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  <c r="EH777" s="9"/>
      <c r="EI777" s="9"/>
      <c r="EJ777" s="9"/>
      <c r="EK777" s="9"/>
      <c r="EL777" s="9"/>
      <c r="EM777" s="9"/>
      <c r="EN777" s="9"/>
      <c r="EO777" s="9"/>
      <c r="EP777" s="9"/>
      <c r="EQ777" s="9"/>
      <c r="ER777" s="9"/>
      <c r="ES777" s="9"/>
      <c r="ET777" s="9"/>
      <c r="EU777" s="9"/>
      <c r="EV777" s="9"/>
      <c r="EW777" s="9"/>
      <c r="EX777" s="9"/>
      <c r="EY777" s="9"/>
      <c r="EZ777" s="9"/>
      <c r="FA777" s="9"/>
      <c r="FB777" s="9"/>
      <c r="FC777" s="9"/>
      <c r="FD777" s="9"/>
      <c r="FE777" s="9"/>
      <c r="FF777" s="9"/>
      <c r="FG777" s="9"/>
      <c r="FH777" s="9"/>
      <c r="FI777" s="9"/>
      <c r="FJ777" s="9"/>
      <c r="FK777" s="9"/>
      <c r="FL777" s="9"/>
      <c r="FM777" s="9"/>
      <c r="FN777" s="9"/>
      <c r="FO777" s="9"/>
      <c r="FP777" s="9"/>
      <c r="FQ777" s="9"/>
      <c r="FR777" s="9"/>
      <c r="FS777" s="9"/>
      <c r="FT777" s="9"/>
      <c r="FU777" s="9"/>
      <c r="FV777" s="9"/>
      <c r="FW777" s="9"/>
      <c r="FX777" s="9"/>
      <c r="FY777" s="9"/>
      <c r="FZ777" s="9"/>
      <c r="GA777" s="9"/>
      <c r="GB777" s="9"/>
      <c r="GC777" s="9"/>
      <c r="GD777" s="9"/>
      <c r="GE777" s="9"/>
      <c r="GF777" s="9"/>
      <c r="GG777" s="9"/>
      <c r="GH777" s="9"/>
      <c r="GI777" s="9"/>
      <c r="GJ777" s="9"/>
      <c r="GK777" s="9"/>
      <c r="GL777" s="9"/>
      <c r="GM777" s="9"/>
      <c r="GN777" s="9"/>
      <c r="GO777" s="9"/>
      <c r="GP777" s="9"/>
      <c r="GQ777" s="9"/>
    </row>
    <row r="778" spans="2:199" ht="15"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  <c r="EO778" s="9"/>
      <c r="EP778" s="9"/>
      <c r="EQ778" s="9"/>
      <c r="ER778" s="9"/>
      <c r="ES778" s="9"/>
      <c r="ET778" s="9"/>
      <c r="EU778" s="9"/>
      <c r="EV778" s="9"/>
      <c r="EW778" s="9"/>
      <c r="EX778" s="9"/>
      <c r="EY778" s="9"/>
      <c r="EZ778" s="9"/>
      <c r="FA778" s="9"/>
      <c r="FB778" s="9"/>
      <c r="FC778" s="9"/>
      <c r="FD778" s="9"/>
      <c r="FE778" s="9"/>
      <c r="FF778" s="9"/>
      <c r="FG778" s="9"/>
      <c r="FH778" s="9"/>
      <c r="FI778" s="9"/>
      <c r="FJ778" s="9"/>
      <c r="FK778" s="9"/>
      <c r="FL778" s="9"/>
      <c r="FM778" s="9"/>
      <c r="FN778" s="9"/>
      <c r="FO778" s="9"/>
      <c r="FP778" s="9"/>
      <c r="FQ778" s="9"/>
      <c r="FR778" s="9"/>
      <c r="FS778" s="9"/>
      <c r="FT778" s="9"/>
      <c r="FU778" s="9"/>
      <c r="FV778" s="9"/>
      <c r="FW778" s="9"/>
      <c r="FX778" s="9"/>
      <c r="FY778" s="9"/>
      <c r="FZ778" s="9"/>
      <c r="GA778" s="9"/>
      <c r="GB778" s="9"/>
      <c r="GC778" s="9"/>
      <c r="GD778" s="9"/>
      <c r="GE778" s="9"/>
      <c r="GF778" s="9"/>
      <c r="GG778" s="9"/>
      <c r="GH778" s="9"/>
      <c r="GI778" s="9"/>
      <c r="GJ778" s="9"/>
      <c r="GK778" s="9"/>
      <c r="GL778" s="9"/>
      <c r="GM778" s="9"/>
      <c r="GN778" s="9"/>
      <c r="GO778" s="9"/>
      <c r="GP778" s="9"/>
      <c r="GQ778" s="9"/>
    </row>
    <row r="779" spans="2:199" ht="15"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/>
      <c r="EG779" s="9"/>
      <c r="EH779" s="9"/>
      <c r="EI779" s="9"/>
      <c r="EJ779" s="9"/>
      <c r="EK779" s="9"/>
      <c r="EL779" s="9"/>
      <c r="EM779" s="9"/>
      <c r="EN779" s="9"/>
      <c r="EO779" s="9"/>
      <c r="EP779" s="9"/>
      <c r="EQ779" s="9"/>
      <c r="ER779" s="9"/>
      <c r="ES779" s="9"/>
      <c r="ET779" s="9"/>
      <c r="EU779" s="9"/>
      <c r="EV779" s="9"/>
      <c r="EW779" s="9"/>
      <c r="EX779" s="9"/>
      <c r="EY779" s="9"/>
      <c r="EZ779" s="9"/>
      <c r="FA779" s="9"/>
      <c r="FB779" s="9"/>
      <c r="FC779" s="9"/>
      <c r="FD779" s="9"/>
      <c r="FE779" s="9"/>
      <c r="FF779" s="9"/>
      <c r="FG779" s="9"/>
      <c r="FH779" s="9"/>
      <c r="FI779" s="9"/>
      <c r="FJ779" s="9"/>
      <c r="FK779" s="9"/>
      <c r="FL779" s="9"/>
      <c r="FM779" s="9"/>
      <c r="FN779" s="9"/>
      <c r="FO779" s="9"/>
      <c r="FP779" s="9"/>
      <c r="FQ779" s="9"/>
      <c r="FR779" s="9"/>
      <c r="FS779" s="9"/>
      <c r="FT779" s="9"/>
      <c r="FU779" s="9"/>
      <c r="FV779" s="9"/>
      <c r="FW779" s="9"/>
      <c r="FX779" s="9"/>
      <c r="FY779" s="9"/>
      <c r="FZ779" s="9"/>
      <c r="GA779" s="9"/>
      <c r="GB779" s="9"/>
      <c r="GC779" s="9"/>
      <c r="GD779" s="9"/>
      <c r="GE779" s="9"/>
      <c r="GF779" s="9"/>
      <c r="GG779" s="9"/>
      <c r="GH779" s="9"/>
      <c r="GI779" s="9"/>
      <c r="GJ779" s="9"/>
      <c r="GK779" s="9"/>
      <c r="GL779" s="9"/>
      <c r="GM779" s="9"/>
      <c r="GN779" s="9"/>
      <c r="GO779" s="9"/>
      <c r="GP779" s="9"/>
      <c r="GQ779" s="9"/>
    </row>
    <row r="780" spans="2:199" ht="15"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  <c r="EO780" s="9"/>
      <c r="EP780" s="9"/>
      <c r="EQ780" s="9"/>
      <c r="ER780" s="9"/>
      <c r="ES780" s="9"/>
      <c r="ET780" s="9"/>
      <c r="EU780" s="9"/>
      <c r="EV780" s="9"/>
      <c r="EW780" s="9"/>
      <c r="EX780" s="9"/>
      <c r="EY780" s="9"/>
      <c r="EZ780" s="9"/>
      <c r="FA780" s="9"/>
      <c r="FB780" s="9"/>
      <c r="FC780" s="9"/>
      <c r="FD780" s="9"/>
      <c r="FE780" s="9"/>
      <c r="FF780" s="9"/>
      <c r="FG780" s="9"/>
      <c r="FH780" s="9"/>
      <c r="FI780" s="9"/>
      <c r="FJ780" s="9"/>
      <c r="FK780" s="9"/>
      <c r="FL780" s="9"/>
      <c r="FM780" s="9"/>
      <c r="FN780" s="9"/>
      <c r="FO780" s="9"/>
      <c r="FP780" s="9"/>
      <c r="FQ780" s="9"/>
      <c r="FR780" s="9"/>
      <c r="FS780" s="9"/>
      <c r="FT780" s="9"/>
      <c r="FU780" s="9"/>
      <c r="FV780" s="9"/>
      <c r="FW780" s="9"/>
      <c r="FX780" s="9"/>
      <c r="FY780" s="9"/>
      <c r="FZ780" s="9"/>
      <c r="GA780" s="9"/>
      <c r="GB780" s="9"/>
      <c r="GC780" s="9"/>
      <c r="GD780" s="9"/>
      <c r="GE780" s="9"/>
      <c r="GF780" s="9"/>
      <c r="GG780" s="9"/>
      <c r="GH780" s="9"/>
      <c r="GI780" s="9"/>
      <c r="GJ780" s="9"/>
      <c r="GK780" s="9"/>
      <c r="GL780" s="9"/>
      <c r="GM780" s="9"/>
      <c r="GN780" s="9"/>
      <c r="GO780" s="9"/>
      <c r="GP780" s="9"/>
      <c r="GQ780" s="9"/>
    </row>
    <row r="781" spans="2:199" ht="15"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  <c r="EM781" s="9"/>
      <c r="EN781" s="9"/>
      <c r="EO781" s="9"/>
      <c r="EP781" s="9"/>
      <c r="EQ781" s="9"/>
      <c r="ER781" s="9"/>
      <c r="ES781" s="9"/>
      <c r="ET781" s="9"/>
      <c r="EU781" s="9"/>
      <c r="EV781" s="9"/>
      <c r="EW781" s="9"/>
      <c r="EX781" s="9"/>
      <c r="EY781" s="9"/>
      <c r="EZ781" s="9"/>
      <c r="FA781" s="9"/>
      <c r="FB781" s="9"/>
      <c r="FC781" s="9"/>
      <c r="FD781" s="9"/>
      <c r="FE781" s="9"/>
      <c r="FF781" s="9"/>
      <c r="FG781" s="9"/>
      <c r="FH781" s="9"/>
      <c r="FI781" s="9"/>
      <c r="FJ781" s="9"/>
      <c r="FK781" s="9"/>
      <c r="FL781" s="9"/>
      <c r="FM781" s="9"/>
      <c r="FN781" s="9"/>
      <c r="FO781" s="9"/>
      <c r="FP781" s="9"/>
      <c r="FQ781" s="9"/>
      <c r="FR781" s="9"/>
      <c r="FS781" s="9"/>
      <c r="FT781" s="9"/>
      <c r="FU781" s="9"/>
      <c r="FV781" s="9"/>
      <c r="FW781" s="9"/>
      <c r="FX781" s="9"/>
      <c r="FY781" s="9"/>
      <c r="FZ781" s="9"/>
      <c r="GA781" s="9"/>
      <c r="GB781" s="9"/>
      <c r="GC781" s="9"/>
      <c r="GD781" s="9"/>
      <c r="GE781" s="9"/>
      <c r="GF781" s="9"/>
      <c r="GG781" s="9"/>
      <c r="GH781" s="9"/>
      <c r="GI781" s="9"/>
      <c r="GJ781" s="9"/>
      <c r="GK781" s="9"/>
      <c r="GL781" s="9"/>
      <c r="GM781" s="9"/>
      <c r="GN781" s="9"/>
      <c r="GO781" s="9"/>
      <c r="GP781" s="9"/>
      <c r="GQ781" s="9"/>
    </row>
    <row r="782" spans="2:199" ht="15"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  <c r="EO782" s="9"/>
      <c r="EP782" s="9"/>
      <c r="EQ782" s="9"/>
      <c r="ER782" s="9"/>
      <c r="ES782" s="9"/>
      <c r="ET782" s="9"/>
      <c r="EU782" s="9"/>
      <c r="EV782" s="9"/>
      <c r="EW782" s="9"/>
      <c r="EX782" s="9"/>
      <c r="EY782" s="9"/>
      <c r="EZ782" s="9"/>
      <c r="FA782" s="9"/>
      <c r="FB782" s="9"/>
      <c r="FC782" s="9"/>
      <c r="FD782" s="9"/>
      <c r="FE782" s="9"/>
      <c r="FF782" s="9"/>
      <c r="FG782" s="9"/>
      <c r="FH782" s="9"/>
      <c r="FI782" s="9"/>
      <c r="FJ782" s="9"/>
      <c r="FK782" s="9"/>
      <c r="FL782" s="9"/>
      <c r="FM782" s="9"/>
      <c r="FN782" s="9"/>
      <c r="FO782" s="9"/>
      <c r="FP782" s="9"/>
      <c r="FQ782" s="9"/>
      <c r="FR782" s="9"/>
      <c r="FS782" s="9"/>
      <c r="FT782" s="9"/>
      <c r="FU782" s="9"/>
      <c r="FV782" s="9"/>
      <c r="FW782" s="9"/>
      <c r="FX782" s="9"/>
      <c r="FY782" s="9"/>
      <c r="FZ782" s="9"/>
      <c r="GA782" s="9"/>
      <c r="GB782" s="9"/>
      <c r="GC782" s="9"/>
      <c r="GD782" s="9"/>
      <c r="GE782" s="9"/>
      <c r="GF782" s="9"/>
      <c r="GG782" s="9"/>
      <c r="GH782" s="9"/>
      <c r="GI782" s="9"/>
      <c r="GJ782" s="9"/>
      <c r="GK782" s="9"/>
      <c r="GL782" s="9"/>
      <c r="GM782" s="9"/>
      <c r="GN782" s="9"/>
      <c r="GO782" s="9"/>
      <c r="GP782" s="9"/>
      <c r="GQ782" s="9"/>
    </row>
    <row r="783" spans="2:199" ht="15"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  <c r="EM783" s="9"/>
      <c r="EN783" s="9"/>
      <c r="EO783" s="9"/>
      <c r="EP783" s="9"/>
      <c r="EQ783" s="9"/>
      <c r="ER783" s="9"/>
      <c r="ES783" s="9"/>
      <c r="ET783" s="9"/>
      <c r="EU783" s="9"/>
      <c r="EV783" s="9"/>
      <c r="EW783" s="9"/>
      <c r="EX783" s="9"/>
      <c r="EY783" s="9"/>
      <c r="EZ783" s="9"/>
      <c r="FA783" s="9"/>
      <c r="FB783" s="9"/>
      <c r="FC783" s="9"/>
      <c r="FD783" s="9"/>
      <c r="FE783" s="9"/>
      <c r="FF783" s="9"/>
      <c r="FG783" s="9"/>
      <c r="FH783" s="9"/>
      <c r="FI783" s="9"/>
      <c r="FJ783" s="9"/>
      <c r="FK783" s="9"/>
      <c r="FL783" s="9"/>
      <c r="FM783" s="9"/>
      <c r="FN783" s="9"/>
      <c r="FO783" s="9"/>
      <c r="FP783" s="9"/>
      <c r="FQ783" s="9"/>
      <c r="FR783" s="9"/>
      <c r="FS783" s="9"/>
      <c r="FT783" s="9"/>
      <c r="FU783" s="9"/>
      <c r="FV783" s="9"/>
      <c r="FW783" s="9"/>
      <c r="FX783" s="9"/>
      <c r="FY783" s="9"/>
      <c r="FZ783" s="9"/>
      <c r="GA783" s="9"/>
      <c r="GB783" s="9"/>
      <c r="GC783" s="9"/>
      <c r="GD783" s="9"/>
      <c r="GE783" s="9"/>
      <c r="GF783" s="9"/>
      <c r="GG783" s="9"/>
      <c r="GH783" s="9"/>
      <c r="GI783" s="9"/>
      <c r="GJ783" s="9"/>
      <c r="GK783" s="9"/>
      <c r="GL783" s="9"/>
      <c r="GM783" s="9"/>
      <c r="GN783" s="9"/>
      <c r="GO783" s="9"/>
      <c r="GP783" s="9"/>
      <c r="GQ783" s="9"/>
    </row>
    <row r="784" spans="2:199" ht="15"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  <c r="EF784" s="9"/>
      <c r="EG784" s="9"/>
      <c r="EH784" s="9"/>
      <c r="EI784" s="9"/>
      <c r="EJ784" s="9"/>
      <c r="EK784" s="9"/>
      <c r="EL784" s="9"/>
      <c r="EM784" s="9"/>
      <c r="EN784" s="9"/>
      <c r="EO784" s="9"/>
      <c r="EP784" s="9"/>
      <c r="EQ784" s="9"/>
      <c r="ER784" s="9"/>
      <c r="ES784" s="9"/>
      <c r="ET784" s="9"/>
      <c r="EU784" s="9"/>
      <c r="EV784" s="9"/>
      <c r="EW784" s="9"/>
      <c r="EX784" s="9"/>
      <c r="EY784" s="9"/>
      <c r="EZ784" s="9"/>
      <c r="FA784" s="9"/>
      <c r="FB784" s="9"/>
      <c r="FC784" s="9"/>
      <c r="FD784" s="9"/>
      <c r="FE784" s="9"/>
      <c r="FF784" s="9"/>
      <c r="FG784" s="9"/>
      <c r="FH784" s="9"/>
      <c r="FI784" s="9"/>
      <c r="FJ784" s="9"/>
      <c r="FK784" s="9"/>
      <c r="FL784" s="9"/>
      <c r="FM784" s="9"/>
      <c r="FN784" s="9"/>
      <c r="FO784" s="9"/>
      <c r="FP784" s="9"/>
      <c r="FQ784" s="9"/>
      <c r="FR784" s="9"/>
      <c r="FS784" s="9"/>
      <c r="FT784" s="9"/>
      <c r="FU784" s="9"/>
      <c r="FV784" s="9"/>
      <c r="FW784" s="9"/>
      <c r="FX784" s="9"/>
      <c r="FY784" s="9"/>
      <c r="FZ784" s="9"/>
      <c r="GA784" s="9"/>
      <c r="GB784" s="9"/>
      <c r="GC784" s="9"/>
      <c r="GD784" s="9"/>
      <c r="GE784" s="9"/>
      <c r="GF784" s="9"/>
      <c r="GG784" s="9"/>
      <c r="GH784" s="9"/>
      <c r="GI784" s="9"/>
      <c r="GJ784" s="9"/>
      <c r="GK784" s="9"/>
      <c r="GL784" s="9"/>
      <c r="GM784" s="9"/>
      <c r="GN784" s="9"/>
      <c r="GO784" s="9"/>
      <c r="GP784" s="9"/>
      <c r="GQ784" s="9"/>
    </row>
    <row r="785" spans="2:199" ht="15"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  <c r="EF785" s="9"/>
      <c r="EG785" s="9"/>
      <c r="EH785" s="9"/>
      <c r="EI785" s="9"/>
      <c r="EJ785" s="9"/>
      <c r="EK785" s="9"/>
      <c r="EL785" s="9"/>
      <c r="EM785" s="9"/>
      <c r="EN785" s="9"/>
      <c r="EO785" s="9"/>
      <c r="EP785" s="9"/>
      <c r="EQ785" s="9"/>
      <c r="ER785" s="9"/>
      <c r="ES785" s="9"/>
      <c r="ET785" s="9"/>
      <c r="EU785" s="9"/>
      <c r="EV785" s="9"/>
      <c r="EW785" s="9"/>
      <c r="EX785" s="9"/>
      <c r="EY785" s="9"/>
      <c r="EZ785" s="9"/>
      <c r="FA785" s="9"/>
      <c r="FB785" s="9"/>
      <c r="FC785" s="9"/>
      <c r="FD785" s="9"/>
      <c r="FE785" s="9"/>
      <c r="FF785" s="9"/>
      <c r="FG785" s="9"/>
      <c r="FH785" s="9"/>
      <c r="FI785" s="9"/>
      <c r="FJ785" s="9"/>
      <c r="FK785" s="9"/>
      <c r="FL785" s="9"/>
      <c r="FM785" s="9"/>
      <c r="FN785" s="9"/>
      <c r="FO785" s="9"/>
      <c r="FP785" s="9"/>
      <c r="FQ785" s="9"/>
      <c r="FR785" s="9"/>
      <c r="FS785" s="9"/>
      <c r="FT785" s="9"/>
      <c r="FU785" s="9"/>
      <c r="FV785" s="9"/>
      <c r="FW785" s="9"/>
      <c r="FX785" s="9"/>
      <c r="FY785" s="9"/>
      <c r="FZ785" s="9"/>
      <c r="GA785" s="9"/>
      <c r="GB785" s="9"/>
      <c r="GC785" s="9"/>
      <c r="GD785" s="9"/>
      <c r="GE785" s="9"/>
      <c r="GF785" s="9"/>
      <c r="GG785" s="9"/>
      <c r="GH785" s="9"/>
      <c r="GI785" s="9"/>
      <c r="GJ785" s="9"/>
      <c r="GK785" s="9"/>
      <c r="GL785" s="9"/>
      <c r="GM785" s="9"/>
      <c r="GN785" s="9"/>
      <c r="GO785" s="9"/>
      <c r="GP785" s="9"/>
      <c r="GQ785" s="9"/>
    </row>
    <row r="786" spans="2:199" ht="15"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  <c r="EH786" s="9"/>
      <c r="EI786" s="9"/>
      <c r="EJ786" s="9"/>
      <c r="EK786" s="9"/>
      <c r="EL786" s="9"/>
      <c r="EM786" s="9"/>
      <c r="EN786" s="9"/>
      <c r="EO786" s="9"/>
      <c r="EP786" s="9"/>
      <c r="EQ786" s="9"/>
      <c r="ER786" s="9"/>
      <c r="ES786" s="9"/>
      <c r="ET786" s="9"/>
      <c r="EU786" s="9"/>
      <c r="EV786" s="9"/>
      <c r="EW786" s="9"/>
      <c r="EX786" s="9"/>
      <c r="EY786" s="9"/>
      <c r="EZ786" s="9"/>
      <c r="FA786" s="9"/>
      <c r="FB786" s="9"/>
      <c r="FC786" s="9"/>
      <c r="FD786" s="9"/>
      <c r="FE786" s="9"/>
      <c r="FF786" s="9"/>
      <c r="FG786" s="9"/>
      <c r="FH786" s="9"/>
      <c r="FI786" s="9"/>
      <c r="FJ786" s="9"/>
      <c r="FK786" s="9"/>
      <c r="FL786" s="9"/>
      <c r="FM786" s="9"/>
      <c r="FN786" s="9"/>
      <c r="FO786" s="9"/>
      <c r="FP786" s="9"/>
      <c r="FQ786" s="9"/>
      <c r="FR786" s="9"/>
      <c r="FS786" s="9"/>
      <c r="FT786" s="9"/>
      <c r="FU786" s="9"/>
      <c r="FV786" s="9"/>
      <c r="FW786" s="9"/>
      <c r="FX786" s="9"/>
      <c r="FY786" s="9"/>
      <c r="FZ786" s="9"/>
      <c r="GA786" s="9"/>
      <c r="GB786" s="9"/>
      <c r="GC786" s="9"/>
      <c r="GD786" s="9"/>
      <c r="GE786" s="9"/>
      <c r="GF786" s="9"/>
      <c r="GG786" s="9"/>
      <c r="GH786" s="9"/>
      <c r="GI786" s="9"/>
      <c r="GJ786" s="9"/>
      <c r="GK786" s="9"/>
      <c r="GL786" s="9"/>
      <c r="GM786" s="9"/>
      <c r="GN786" s="9"/>
      <c r="GO786" s="9"/>
      <c r="GP786" s="9"/>
      <c r="GQ786" s="9"/>
    </row>
    <row r="787" spans="2:199" ht="15"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  <c r="EH787" s="9"/>
      <c r="EI787" s="9"/>
      <c r="EJ787" s="9"/>
      <c r="EK787" s="9"/>
      <c r="EL787" s="9"/>
      <c r="EM787" s="9"/>
      <c r="EN787" s="9"/>
      <c r="EO787" s="9"/>
      <c r="EP787" s="9"/>
      <c r="EQ787" s="9"/>
      <c r="ER787" s="9"/>
      <c r="ES787" s="9"/>
      <c r="ET787" s="9"/>
      <c r="EU787" s="9"/>
      <c r="EV787" s="9"/>
      <c r="EW787" s="9"/>
      <c r="EX787" s="9"/>
      <c r="EY787" s="9"/>
      <c r="EZ787" s="9"/>
      <c r="FA787" s="9"/>
      <c r="FB787" s="9"/>
      <c r="FC787" s="9"/>
      <c r="FD787" s="9"/>
      <c r="FE787" s="9"/>
      <c r="FF787" s="9"/>
      <c r="FG787" s="9"/>
      <c r="FH787" s="9"/>
      <c r="FI787" s="9"/>
      <c r="FJ787" s="9"/>
      <c r="FK787" s="9"/>
      <c r="FL787" s="9"/>
      <c r="FM787" s="9"/>
      <c r="FN787" s="9"/>
      <c r="FO787" s="9"/>
      <c r="FP787" s="9"/>
      <c r="FQ787" s="9"/>
      <c r="FR787" s="9"/>
      <c r="FS787" s="9"/>
      <c r="FT787" s="9"/>
      <c r="FU787" s="9"/>
      <c r="FV787" s="9"/>
      <c r="FW787" s="9"/>
      <c r="FX787" s="9"/>
      <c r="FY787" s="9"/>
      <c r="FZ787" s="9"/>
      <c r="GA787" s="9"/>
      <c r="GB787" s="9"/>
      <c r="GC787" s="9"/>
      <c r="GD787" s="9"/>
      <c r="GE787" s="9"/>
      <c r="GF787" s="9"/>
      <c r="GG787" s="9"/>
      <c r="GH787" s="9"/>
      <c r="GI787" s="9"/>
      <c r="GJ787" s="9"/>
      <c r="GK787" s="9"/>
      <c r="GL787" s="9"/>
      <c r="GM787" s="9"/>
      <c r="GN787" s="9"/>
      <c r="GO787" s="9"/>
      <c r="GP787" s="9"/>
      <c r="GQ787" s="9"/>
    </row>
    <row r="788" spans="2:199" ht="15"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  <c r="EF788" s="9"/>
      <c r="EG788" s="9"/>
      <c r="EH788" s="9"/>
      <c r="EI788" s="9"/>
      <c r="EJ788" s="9"/>
      <c r="EK788" s="9"/>
      <c r="EL788" s="9"/>
      <c r="EM788" s="9"/>
      <c r="EN788" s="9"/>
      <c r="EO788" s="9"/>
      <c r="EP788" s="9"/>
      <c r="EQ788" s="9"/>
      <c r="ER788" s="9"/>
      <c r="ES788" s="9"/>
      <c r="ET788" s="9"/>
      <c r="EU788" s="9"/>
      <c r="EV788" s="9"/>
      <c r="EW788" s="9"/>
      <c r="EX788" s="9"/>
      <c r="EY788" s="9"/>
      <c r="EZ788" s="9"/>
      <c r="FA788" s="9"/>
      <c r="FB788" s="9"/>
      <c r="FC788" s="9"/>
      <c r="FD788" s="9"/>
      <c r="FE788" s="9"/>
      <c r="FF788" s="9"/>
      <c r="FG788" s="9"/>
      <c r="FH788" s="9"/>
      <c r="FI788" s="9"/>
      <c r="FJ788" s="9"/>
      <c r="FK788" s="9"/>
      <c r="FL788" s="9"/>
      <c r="FM788" s="9"/>
      <c r="FN788" s="9"/>
      <c r="FO788" s="9"/>
      <c r="FP788" s="9"/>
      <c r="FQ788" s="9"/>
      <c r="FR788" s="9"/>
      <c r="FS788" s="9"/>
      <c r="FT788" s="9"/>
      <c r="FU788" s="9"/>
      <c r="FV788" s="9"/>
      <c r="FW788" s="9"/>
      <c r="FX788" s="9"/>
      <c r="FY788" s="9"/>
      <c r="FZ788" s="9"/>
      <c r="GA788" s="9"/>
      <c r="GB788" s="9"/>
      <c r="GC788" s="9"/>
      <c r="GD788" s="9"/>
      <c r="GE788" s="9"/>
      <c r="GF788" s="9"/>
      <c r="GG788" s="9"/>
      <c r="GH788" s="9"/>
      <c r="GI788" s="9"/>
      <c r="GJ788" s="9"/>
      <c r="GK788" s="9"/>
      <c r="GL788" s="9"/>
      <c r="GM788" s="9"/>
      <c r="GN788" s="9"/>
      <c r="GO788" s="9"/>
      <c r="GP788" s="9"/>
      <c r="GQ788" s="9"/>
    </row>
    <row r="789" spans="2:199" ht="15"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/>
      <c r="EG789" s="9"/>
      <c r="EH789" s="9"/>
      <c r="EI789" s="9"/>
      <c r="EJ789" s="9"/>
      <c r="EK789" s="9"/>
      <c r="EL789" s="9"/>
      <c r="EM789" s="9"/>
      <c r="EN789" s="9"/>
      <c r="EO789" s="9"/>
      <c r="EP789" s="9"/>
      <c r="EQ789" s="9"/>
      <c r="ER789" s="9"/>
      <c r="ES789" s="9"/>
      <c r="ET789" s="9"/>
      <c r="EU789" s="9"/>
      <c r="EV789" s="9"/>
      <c r="EW789" s="9"/>
      <c r="EX789" s="9"/>
      <c r="EY789" s="9"/>
      <c r="EZ789" s="9"/>
      <c r="FA789" s="9"/>
      <c r="FB789" s="9"/>
      <c r="FC789" s="9"/>
      <c r="FD789" s="9"/>
      <c r="FE789" s="9"/>
      <c r="FF789" s="9"/>
      <c r="FG789" s="9"/>
      <c r="FH789" s="9"/>
      <c r="FI789" s="9"/>
      <c r="FJ789" s="9"/>
      <c r="FK789" s="9"/>
      <c r="FL789" s="9"/>
      <c r="FM789" s="9"/>
      <c r="FN789" s="9"/>
      <c r="FO789" s="9"/>
      <c r="FP789" s="9"/>
      <c r="FQ789" s="9"/>
      <c r="FR789" s="9"/>
      <c r="FS789" s="9"/>
      <c r="FT789" s="9"/>
      <c r="FU789" s="9"/>
      <c r="FV789" s="9"/>
      <c r="FW789" s="9"/>
      <c r="FX789" s="9"/>
      <c r="FY789" s="9"/>
      <c r="FZ789" s="9"/>
      <c r="GA789" s="9"/>
      <c r="GB789" s="9"/>
      <c r="GC789" s="9"/>
      <c r="GD789" s="9"/>
      <c r="GE789" s="9"/>
      <c r="GF789" s="9"/>
      <c r="GG789" s="9"/>
      <c r="GH789" s="9"/>
      <c r="GI789" s="9"/>
      <c r="GJ789" s="9"/>
      <c r="GK789" s="9"/>
      <c r="GL789" s="9"/>
      <c r="GM789" s="9"/>
      <c r="GN789" s="9"/>
      <c r="GO789" s="9"/>
      <c r="GP789" s="9"/>
      <c r="GQ789" s="9"/>
    </row>
    <row r="790" spans="2:199" ht="15"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  <c r="EF790" s="9"/>
      <c r="EG790" s="9"/>
      <c r="EH790" s="9"/>
      <c r="EI790" s="9"/>
      <c r="EJ790" s="9"/>
      <c r="EK790" s="9"/>
      <c r="EL790" s="9"/>
      <c r="EM790" s="9"/>
      <c r="EN790" s="9"/>
      <c r="EO790" s="9"/>
      <c r="EP790" s="9"/>
      <c r="EQ790" s="9"/>
      <c r="ER790" s="9"/>
      <c r="ES790" s="9"/>
      <c r="ET790" s="9"/>
      <c r="EU790" s="9"/>
      <c r="EV790" s="9"/>
      <c r="EW790" s="9"/>
      <c r="EX790" s="9"/>
      <c r="EY790" s="9"/>
      <c r="EZ790" s="9"/>
      <c r="FA790" s="9"/>
      <c r="FB790" s="9"/>
      <c r="FC790" s="9"/>
      <c r="FD790" s="9"/>
      <c r="FE790" s="9"/>
      <c r="FF790" s="9"/>
      <c r="FG790" s="9"/>
      <c r="FH790" s="9"/>
      <c r="FI790" s="9"/>
      <c r="FJ790" s="9"/>
      <c r="FK790" s="9"/>
      <c r="FL790" s="9"/>
      <c r="FM790" s="9"/>
      <c r="FN790" s="9"/>
      <c r="FO790" s="9"/>
      <c r="FP790" s="9"/>
      <c r="FQ790" s="9"/>
      <c r="FR790" s="9"/>
      <c r="FS790" s="9"/>
      <c r="FT790" s="9"/>
      <c r="FU790" s="9"/>
      <c r="FV790" s="9"/>
      <c r="FW790" s="9"/>
      <c r="FX790" s="9"/>
      <c r="FY790" s="9"/>
      <c r="FZ790" s="9"/>
      <c r="GA790" s="9"/>
      <c r="GB790" s="9"/>
      <c r="GC790" s="9"/>
      <c r="GD790" s="9"/>
      <c r="GE790" s="9"/>
      <c r="GF790" s="9"/>
      <c r="GG790" s="9"/>
      <c r="GH790" s="9"/>
      <c r="GI790" s="9"/>
      <c r="GJ790" s="9"/>
      <c r="GK790" s="9"/>
      <c r="GL790" s="9"/>
      <c r="GM790" s="9"/>
      <c r="GN790" s="9"/>
      <c r="GO790" s="9"/>
      <c r="GP790" s="9"/>
      <c r="GQ790" s="9"/>
    </row>
    <row r="791" spans="2:199" ht="15"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/>
      <c r="EG791" s="9"/>
      <c r="EH791" s="9"/>
      <c r="EI791" s="9"/>
      <c r="EJ791" s="9"/>
      <c r="EK791" s="9"/>
      <c r="EL791" s="9"/>
      <c r="EM791" s="9"/>
      <c r="EN791" s="9"/>
      <c r="EO791" s="9"/>
      <c r="EP791" s="9"/>
      <c r="EQ791" s="9"/>
      <c r="ER791" s="9"/>
      <c r="ES791" s="9"/>
      <c r="ET791" s="9"/>
      <c r="EU791" s="9"/>
      <c r="EV791" s="9"/>
      <c r="EW791" s="9"/>
      <c r="EX791" s="9"/>
      <c r="EY791" s="9"/>
      <c r="EZ791" s="9"/>
      <c r="FA791" s="9"/>
      <c r="FB791" s="9"/>
      <c r="FC791" s="9"/>
      <c r="FD791" s="9"/>
      <c r="FE791" s="9"/>
      <c r="FF791" s="9"/>
      <c r="FG791" s="9"/>
      <c r="FH791" s="9"/>
      <c r="FI791" s="9"/>
      <c r="FJ791" s="9"/>
      <c r="FK791" s="9"/>
      <c r="FL791" s="9"/>
      <c r="FM791" s="9"/>
      <c r="FN791" s="9"/>
      <c r="FO791" s="9"/>
      <c r="FP791" s="9"/>
      <c r="FQ791" s="9"/>
      <c r="FR791" s="9"/>
      <c r="FS791" s="9"/>
      <c r="FT791" s="9"/>
      <c r="FU791" s="9"/>
      <c r="FV791" s="9"/>
      <c r="FW791" s="9"/>
      <c r="FX791" s="9"/>
      <c r="FY791" s="9"/>
      <c r="FZ791" s="9"/>
      <c r="GA791" s="9"/>
      <c r="GB791" s="9"/>
      <c r="GC791" s="9"/>
      <c r="GD791" s="9"/>
      <c r="GE791" s="9"/>
      <c r="GF791" s="9"/>
      <c r="GG791" s="9"/>
      <c r="GH791" s="9"/>
      <c r="GI791" s="9"/>
      <c r="GJ791" s="9"/>
      <c r="GK791" s="9"/>
      <c r="GL791" s="9"/>
      <c r="GM791" s="9"/>
      <c r="GN791" s="9"/>
      <c r="GO791" s="9"/>
      <c r="GP791" s="9"/>
      <c r="GQ791" s="9"/>
    </row>
    <row r="792" spans="2:199" ht="15"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  <c r="EH792" s="9"/>
      <c r="EI792" s="9"/>
      <c r="EJ792" s="9"/>
      <c r="EK792" s="9"/>
      <c r="EL792" s="9"/>
      <c r="EM792" s="9"/>
      <c r="EN792" s="9"/>
      <c r="EO792" s="9"/>
      <c r="EP792" s="9"/>
      <c r="EQ792" s="9"/>
      <c r="ER792" s="9"/>
      <c r="ES792" s="9"/>
      <c r="ET792" s="9"/>
      <c r="EU792" s="9"/>
      <c r="EV792" s="9"/>
      <c r="EW792" s="9"/>
      <c r="EX792" s="9"/>
      <c r="EY792" s="9"/>
      <c r="EZ792" s="9"/>
      <c r="FA792" s="9"/>
      <c r="FB792" s="9"/>
      <c r="FC792" s="9"/>
      <c r="FD792" s="9"/>
      <c r="FE792" s="9"/>
      <c r="FF792" s="9"/>
      <c r="FG792" s="9"/>
      <c r="FH792" s="9"/>
      <c r="FI792" s="9"/>
      <c r="FJ792" s="9"/>
      <c r="FK792" s="9"/>
      <c r="FL792" s="9"/>
      <c r="FM792" s="9"/>
      <c r="FN792" s="9"/>
      <c r="FO792" s="9"/>
      <c r="FP792" s="9"/>
      <c r="FQ792" s="9"/>
      <c r="FR792" s="9"/>
      <c r="FS792" s="9"/>
      <c r="FT792" s="9"/>
      <c r="FU792" s="9"/>
      <c r="FV792" s="9"/>
      <c r="FW792" s="9"/>
      <c r="FX792" s="9"/>
      <c r="FY792" s="9"/>
      <c r="FZ792" s="9"/>
      <c r="GA792" s="9"/>
      <c r="GB792" s="9"/>
      <c r="GC792" s="9"/>
      <c r="GD792" s="9"/>
      <c r="GE792" s="9"/>
      <c r="GF792" s="9"/>
      <c r="GG792" s="9"/>
      <c r="GH792" s="9"/>
      <c r="GI792" s="9"/>
      <c r="GJ792" s="9"/>
      <c r="GK792" s="9"/>
      <c r="GL792" s="9"/>
      <c r="GM792" s="9"/>
      <c r="GN792" s="9"/>
      <c r="GO792" s="9"/>
      <c r="GP792" s="9"/>
      <c r="GQ792" s="9"/>
    </row>
    <row r="793" spans="2:199" ht="15"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  <c r="EC793" s="9"/>
      <c r="ED793" s="9"/>
      <c r="EE793" s="9"/>
      <c r="EF793" s="9"/>
      <c r="EG793" s="9"/>
      <c r="EH793" s="9"/>
      <c r="EI793" s="9"/>
      <c r="EJ793" s="9"/>
      <c r="EK793" s="9"/>
      <c r="EL793" s="9"/>
      <c r="EM793" s="9"/>
      <c r="EN793" s="9"/>
      <c r="EO793" s="9"/>
      <c r="EP793" s="9"/>
      <c r="EQ793" s="9"/>
      <c r="ER793" s="9"/>
      <c r="ES793" s="9"/>
      <c r="ET793" s="9"/>
      <c r="EU793" s="9"/>
      <c r="EV793" s="9"/>
      <c r="EW793" s="9"/>
      <c r="EX793" s="9"/>
      <c r="EY793" s="9"/>
      <c r="EZ793" s="9"/>
      <c r="FA793" s="9"/>
      <c r="FB793" s="9"/>
      <c r="FC793" s="9"/>
      <c r="FD793" s="9"/>
      <c r="FE793" s="9"/>
      <c r="FF793" s="9"/>
      <c r="FG793" s="9"/>
      <c r="FH793" s="9"/>
      <c r="FI793" s="9"/>
      <c r="FJ793" s="9"/>
      <c r="FK793" s="9"/>
      <c r="FL793" s="9"/>
      <c r="FM793" s="9"/>
      <c r="FN793" s="9"/>
      <c r="FO793" s="9"/>
      <c r="FP793" s="9"/>
      <c r="FQ793" s="9"/>
      <c r="FR793" s="9"/>
      <c r="FS793" s="9"/>
      <c r="FT793" s="9"/>
      <c r="FU793" s="9"/>
      <c r="FV793" s="9"/>
      <c r="FW793" s="9"/>
      <c r="FX793" s="9"/>
      <c r="FY793" s="9"/>
      <c r="FZ793" s="9"/>
      <c r="GA793" s="9"/>
      <c r="GB793" s="9"/>
      <c r="GC793" s="9"/>
      <c r="GD793" s="9"/>
      <c r="GE793" s="9"/>
      <c r="GF793" s="9"/>
      <c r="GG793" s="9"/>
      <c r="GH793" s="9"/>
      <c r="GI793" s="9"/>
      <c r="GJ793" s="9"/>
      <c r="GK793" s="9"/>
      <c r="GL793" s="9"/>
      <c r="GM793" s="9"/>
      <c r="GN793" s="9"/>
      <c r="GO793" s="9"/>
      <c r="GP793" s="9"/>
      <c r="GQ793" s="9"/>
    </row>
    <row r="794" spans="2:199" ht="15"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  <c r="EC794" s="9"/>
      <c r="ED794" s="9"/>
      <c r="EE794" s="9"/>
      <c r="EF794" s="9"/>
      <c r="EG794" s="9"/>
      <c r="EH794" s="9"/>
      <c r="EI794" s="9"/>
      <c r="EJ794" s="9"/>
      <c r="EK794" s="9"/>
      <c r="EL794" s="9"/>
      <c r="EM794" s="9"/>
      <c r="EN794" s="9"/>
      <c r="EO794" s="9"/>
      <c r="EP794" s="9"/>
      <c r="EQ794" s="9"/>
      <c r="ER794" s="9"/>
      <c r="ES794" s="9"/>
      <c r="ET794" s="9"/>
      <c r="EU794" s="9"/>
      <c r="EV794" s="9"/>
      <c r="EW794" s="9"/>
      <c r="EX794" s="9"/>
      <c r="EY794" s="9"/>
      <c r="EZ794" s="9"/>
      <c r="FA794" s="9"/>
      <c r="FB794" s="9"/>
      <c r="FC794" s="9"/>
      <c r="FD794" s="9"/>
      <c r="FE794" s="9"/>
      <c r="FF794" s="9"/>
      <c r="FG794" s="9"/>
      <c r="FH794" s="9"/>
      <c r="FI794" s="9"/>
      <c r="FJ794" s="9"/>
      <c r="FK794" s="9"/>
      <c r="FL794" s="9"/>
      <c r="FM794" s="9"/>
      <c r="FN794" s="9"/>
      <c r="FO794" s="9"/>
      <c r="FP794" s="9"/>
      <c r="FQ794" s="9"/>
      <c r="FR794" s="9"/>
      <c r="FS794" s="9"/>
      <c r="FT794" s="9"/>
      <c r="FU794" s="9"/>
      <c r="FV794" s="9"/>
      <c r="FW794" s="9"/>
      <c r="FX794" s="9"/>
      <c r="FY794" s="9"/>
      <c r="FZ794" s="9"/>
      <c r="GA794" s="9"/>
      <c r="GB794" s="9"/>
      <c r="GC794" s="9"/>
      <c r="GD794" s="9"/>
      <c r="GE794" s="9"/>
      <c r="GF794" s="9"/>
      <c r="GG794" s="9"/>
      <c r="GH794" s="9"/>
      <c r="GI794" s="9"/>
      <c r="GJ794" s="9"/>
      <c r="GK794" s="9"/>
      <c r="GL794" s="9"/>
      <c r="GM794" s="9"/>
      <c r="GN794" s="9"/>
      <c r="GO794" s="9"/>
      <c r="GP794" s="9"/>
      <c r="GQ794" s="9"/>
    </row>
    <row r="795" spans="2:199" ht="15"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/>
      <c r="EG795" s="9"/>
      <c r="EH795" s="9"/>
      <c r="EI795" s="9"/>
      <c r="EJ795" s="9"/>
      <c r="EK795" s="9"/>
      <c r="EL795" s="9"/>
      <c r="EM795" s="9"/>
      <c r="EN795" s="9"/>
      <c r="EO795" s="9"/>
      <c r="EP795" s="9"/>
      <c r="EQ795" s="9"/>
      <c r="ER795" s="9"/>
      <c r="ES795" s="9"/>
      <c r="ET795" s="9"/>
      <c r="EU795" s="9"/>
      <c r="EV795" s="9"/>
      <c r="EW795" s="9"/>
      <c r="EX795" s="9"/>
      <c r="EY795" s="9"/>
      <c r="EZ795" s="9"/>
      <c r="FA795" s="9"/>
      <c r="FB795" s="9"/>
      <c r="FC795" s="9"/>
      <c r="FD795" s="9"/>
      <c r="FE795" s="9"/>
      <c r="FF795" s="9"/>
      <c r="FG795" s="9"/>
      <c r="FH795" s="9"/>
      <c r="FI795" s="9"/>
      <c r="FJ795" s="9"/>
      <c r="FK795" s="9"/>
      <c r="FL795" s="9"/>
      <c r="FM795" s="9"/>
      <c r="FN795" s="9"/>
      <c r="FO795" s="9"/>
      <c r="FP795" s="9"/>
      <c r="FQ795" s="9"/>
      <c r="FR795" s="9"/>
      <c r="FS795" s="9"/>
      <c r="FT795" s="9"/>
      <c r="FU795" s="9"/>
      <c r="FV795" s="9"/>
      <c r="FW795" s="9"/>
      <c r="FX795" s="9"/>
      <c r="FY795" s="9"/>
      <c r="FZ795" s="9"/>
      <c r="GA795" s="9"/>
      <c r="GB795" s="9"/>
      <c r="GC795" s="9"/>
      <c r="GD795" s="9"/>
      <c r="GE795" s="9"/>
      <c r="GF795" s="9"/>
      <c r="GG795" s="9"/>
      <c r="GH795" s="9"/>
      <c r="GI795" s="9"/>
      <c r="GJ795" s="9"/>
      <c r="GK795" s="9"/>
      <c r="GL795" s="9"/>
      <c r="GM795" s="9"/>
      <c r="GN795" s="9"/>
      <c r="GO795" s="9"/>
      <c r="GP795" s="9"/>
      <c r="GQ795" s="9"/>
    </row>
    <row r="796" spans="2:199" ht="15"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  <c r="EB796" s="9"/>
      <c r="EC796" s="9"/>
      <c r="ED796" s="9"/>
      <c r="EE796" s="9"/>
      <c r="EF796" s="9"/>
      <c r="EG796" s="9"/>
      <c r="EH796" s="9"/>
      <c r="EI796" s="9"/>
      <c r="EJ796" s="9"/>
      <c r="EK796" s="9"/>
      <c r="EL796" s="9"/>
      <c r="EM796" s="9"/>
      <c r="EN796" s="9"/>
      <c r="EO796" s="9"/>
      <c r="EP796" s="9"/>
      <c r="EQ796" s="9"/>
      <c r="ER796" s="9"/>
      <c r="ES796" s="9"/>
      <c r="ET796" s="9"/>
      <c r="EU796" s="9"/>
      <c r="EV796" s="9"/>
      <c r="EW796" s="9"/>
      <c r="EX796" s="9"/>
      <c r="EY796" s="9"/>
      <c r="EZ796" s="9"/>
      <c r="FA796" s="9"/>
      <c r="FB796" s="9"/>
      <c r="FC796" s="9"/>
      <c r="FD796" s="9"/>
      <c r="FE796" s="9"/>
      <c r="FF796" s="9"/>
      <c r="FG796" s="9"/>
      <c r="FH796" s="9"/>
      <c r="FI796" s="9"/>
      <c r="FJ796" s="9"/>
      <c r="FK796" s="9"/>
      <c r="FL796" s="9"/>
      <c r="FM796" s="9"/>
      <c r="FN796" s="9"/>
      <c r="FO796" s="9"/>
      <c r="FP796" s="9"/>
      <c r="FQ796" s="9"/>
      <c r="FR796" s="9"/>
      <c r="FS796" s="9"/>
      <c r="FT796" s="9"/>
      <c r="FU796" s="9"/>
      <c r="FV796" s="9"/>
      <c r="FW796" s="9"/>
      <c r="FX796" s="9"/>
      <c r="FY796" s="9"/>
      <c r="FZ796" s="9"/>
      <c r="GA796" s="9"/>
      <c r="GB796" s="9"/>
      <c r="GC796" s="9"/>
      <c r="GD796" s="9"/>
      <c r="GE796" s="9"/>
      <c r="GF796" s="9"/>
      <c r="GG796" s="9"/>
      <c r="GH796" s="9"/>
      <c r="GI796" s="9"/>
      <c r="GJ796" s="9"/>
      <c r="GK796" s="9"/>
      <c r="GL796" s="9"/>
      <c r="GM796" s="9"/>
      <c r="GN796" s="9"/>
      <c r="GO796" s="9"/>
      <c r="GP796" s="9"/>
      <c r="GQ796" s="9"/>
    </row>
    <row r="797" spans="2:199" ht="15"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  <c r="EC797" s="9"/>
      <c r="ED797" s="9"/>
      <c r="EE797" s="9"/>
      <c r="EF797" s="9"/>
      <c r="EG797" s="9"/>
      <c r="EH797" s="9"/>
      <c r="EI797" s="9"/>
      <c r="EJ797" s="9"/>
      <c r="EK797" s="9"/>
      <c r="EL797" s="9"/>
      <c r="EM797" s="9"/>
      <c r="EN797" s="9"/>
      <c r="EO797" s="9"/>
      <c r="EP797" s="9"/>
      <c r="EQ797" s="9"/>
      <c r="ER797" s="9"/>
      <c r="ES797" s="9"/>
      <c r="ET797" s="9"/>
      <c r="EU797" s="9"/>
      <c r="EV797" s="9"/>
      <c r="EW797" s="9"/>
      <c r="EX797" s="9"/>
      <c r="EY797" s="9"/>
      <c r="EZ797" s="9"/>
      <c r="FA797" s="9"/>
      <c r="FB797" s="9"/>
      <c r="FC797" s="9"/>
      <c r="FD797" s="9"/>
      <c r="FE797" s="9"/>
      <c r="FF797" s="9"/>
      <c r="FG797" s="9"/>
      <c r="FH797" s="9"/>
      <c r="FI797" s="9"/>
      <c r="FJ797" s="9"/>
      <c r="FK797" s="9"/>
      <c r="FL797" s="9"/>
      <c r="FM797" s="9"/>
      <c r="FN797" s="9"/>
      <c r="FO797" s="9"/>
      <c r="FP797" s="9"/>
      <c r="FQ797" s="9"/>
      <c r="FR797" s="9"/>
      <c r="FS797" s="9"/>
      <c r="FT797" s="9"/>
      <c r="FU797" s="9"/>
      <c r="FV797" s="9"/>
      <c r="FW797" s="9"/>
      <c r="FX797" s="9"/>
      <c r="FY797" s="9"/>
      <c r="FZ797" s="9"/>
      <c r="GA797" s="9"/>
      <c r="GB797" s="9"/>
      <c r="GC797" s="9"/>
      <c r="GD797" s="9"/>
      <c r="GE797" s="9"/>
      <c r="GF797" s="9"/>
      <c r="GG797" s="9"/>
      <c r="GH797" s="9"/>
      <c r="GI797" s="9"/>
      <c r="GJ797" s="9"/>
      <c r="GK797" s="9"/>
      <c r="GL797" s="9"/>
      <c r="GM797" s="9"/>
      <c r="GN797" s="9"/>
      <c r="GO797" s="9"/>
      <c r="GP797" s="9"/>
      <c r="GQ797" s="9"/>
    </row>
    <row r="798" spans="2:199" ht="15"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  <c r="EC798" s="9"/>
      <c r="ED798" s="9"/>
      <c r="EE798" s="9"/>
      <c r="EF798" s="9"/>
      <c r="EG798" s="9"/>
      <c r="EH798" s="9"/>
      <c r="EI798" s="9"/>
      <c r="EJ798" s="9"/>
      <c r="EK798" s="9"/>
      <c r="EL798" s="9"/>
      <c r="EM798" s="9"/>
      <c r="EN798" s="9"/>
      <c r="EO798" s="9"/>
      <c r="EP798" s="9"/>
      <c r="EQ798" s="9"/>
      <c r="ER798" s="9"/>
      <c r="ES798" s="9"/>
      <c r="ET798" s="9"/>
      <c r="EU798" s="9"/>
      <c r="EV798" s="9"/>
      <c r="EW798" s="9"/>
      <c r="EX798" s="9"/>
      <c r="EY798" s="9"/>
      <c r="EZ798" s="9"/>
      <c r="FA798" s="9"/>
      <c r="FB798" s="9"/>
      <c r="FC798" s="9"/>
      <c r="FD798" s="9"/>
      <c r="FE798" s="9"/>
      <c r="FF798" s="9"/>
      <c r="FG798" s="9"/>
      <c r="FH798" s="9"/>
      <c r="FI798" s="9"/>
      <c r="FJ798" s="9"/>
      <c r="FK798" s="9"/>
      <c r="FL798" s="9"/>
      <c r="FM798" s="9"/>
      <c r="FN798" s="9"/>
      <c r="FO798" s="9"/>
      <c r="FP798" s="9"/>
      <c r="FQ798" s="9"/>
      <c r="FR798" s="9"/>
      <c r="FS798" s="9"/>
      <c r="FT798" s="9"/>
      <c r="FU798" s="9"/>
      <c r="FV798" s="9"/>
      <c r="FW798" s="9"/>
      <c r="FX798" s="9"/>
      <c r="FY798" s="9"/>
      <c r="FZ798" s="9"/>
      <c r="GA798" s="9"/>
      <c r="GB798" s="9"/>
      <c r="GC798" s="9"/>
      <c r="GD798" s="9"/>
      <c r="GE798" s="9"/>
      <c r="GF798" s="9"/>
      <c r="GG798" s="9"/>
      <c r="GH798" s="9"/>
      <c r="GI798" s="9"/>
      <c r="GJ798" s="9"/>
      <c r="GK798" s="9"/>
      <c r="GL798" s="9"/>
      <c r="GM798" s="9"/>
      <c r="GN798" s="9"/>
      <c r="GO798" s="9"/>
      <c r="GP798" s="9"/>
      <c r="GQ798" s="9"/>
    </row>
    <row r="799" spans="2:199" ht="15"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  <c r="EF799" s="9"/>
      <c r="EG799" s="9"/>
      <c r="EH799" s="9"/>
      <c r="EI799" s="9"/>
      <c r="EJ799" s="9"/>
      <c r="EK799" s="9"/>
      <c r="EL799" s="9"/>
      <c r="EM799" s="9"/>
      <c r="EN799" s="9"/>
      <c r="EO799" s="9"/>
      <c r="EP799" s="9"/>
      <c r="EQ799" s="9"/>
      <c r="ER799" s="9"/>
      <c r="ES799" s="9"/>
      <c r="ET799" s="9"/>
      <c r="EU799" s="9"/>
      <c r="EV799" s="9"/>
      <c r="EW799" s="9"/>
      <c r="EX799" s="9"/>
      <c r="EY799" s="9"/>
      <c r="EZ799" s="9"/>
      <c r="FA799" s="9"/>
      <c r="FB799" s="9"/>
      <c r="FC799" s="9"/>
      <c r="FD799" s="9"/>
      <c r="FE799" s="9"/>
      <c r="FF799" s="9"/>
      <c r="FG799" s="9"/>
      <c r="FH799" s="9"/>
      <c r="FI799" s="9"/>
      <c r="FJ799" s="9"/>
      <c r="FK799" s="9"/>
      <c r="FL799" s="9"/>
      <c r="FM799" s="9"/>
      <c r="FN799" s="9"/>
      <c r="FO799" s="9"/>
      <c r="FP799" s="9"/>
      <c r="FQ799" s="9"/>
      <c r="FR799" s="9"/>
      <c r="FS799" s="9"/>
      <c r="FT799" s="9"/>
      <c r="FU799" s="9"/>
      <c r="FV799" s="9"/>
      <c r="FW799" s="9"/>
      <c r="FX799" s="9"/>
      <c r="FY799" s="9"/>
      <c r="FZ799" s="9"/>
      <c r="GA799" s="9"/>
      <c r="GB799" s="9"/>
      <c r="GC799" s="9"/>
      <c r="GD799" s="9"/>
      <c r="GE799" s="9"/>
      <c r="GF799" s="9"/>
      <c r="GG799" s="9"/>
      <c r="GH799" s="9"/>
      <c r="GI799" s="9"/>
      <c r="GJ799" s="9"/>
      <c r="GK799" s="9"/>
      <c r="GL799" s="9"/>
      <c r="GM799" s="9"/>
      <c r="GN799" s="9"/>
      <c r="GO799" s="9"/>
      <c r="GP799" s="9"/>
      <c r="GQ799" s="9"/>
    </row>
    <row r="800" spans="2:199" ht="15"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  <c r="EC800" s="9"/>
      <c r="ED800" s="9"/>
      <c r="EE800" s="9"/>
      <c r="EF800" s="9"/>
      <c r="EG800" s="9"/>
      <c r="EH800" s="9"/>
      <c r="EI800" s="9"/>
      <c r="EJ800" s="9"/>
      <c r="EK800" s="9"/>
      <c r="EL800" s="9"/>
      <c r="EM800" s="9"/>
      <c r="EN800" s="9"/>
      <c r="EO800" s="9"/>
      <c r="EP800" s="9"/>
      <c r="EQ800" s="9"/>
      <c r="ER800" s="9"/>
      <c r="ES800" s="9"/>
      <c r="ET800" s="9"/>
      <c r="EU800" s="9"/>
      <c r="EV800" s="9"/>
      <c r="EW800" s="9"/>
      <c r="EX800" s="9"/>
      <c r="EY800" s="9"/>
      <c r="EZ800" s="9"/>
      <c r="FA800" s="9"/>
      <c r="FB800" s="9"/>
      <c r="FC800" s="9"/>
      <c r="FD800" s="9"/>
      <c r="FE800" s="9"/>
      <c r="FF800" s="9"/>
      <c r="FG800" s="9"/>
      <c r="FH800" s="9"/>
      <c r="FI800" s="9"/>
      <c r="FJ800" s="9"/>
      <c r="FK800" s="9"/>
      <c r="FL800" s="9"/>
      <c r="FM800" s="9"/>
      <c r="FN800" s="9"/>
      <c r="FO800" s="9"/>
      <c r="FP800" s="9"/>
      <c r="FQ800" s="9"/>
      <c r="FR800" s="9"/>
      <c r="FS800" s="9"/>
      <c r="FT800" s="9"/>
      <c r="FU800" s="9"/>
      <c r="FV800" s="9"/>
      <c r="FW800" s="9"/>
      <c r="FX800" s="9"/>
      <c r="FY800" s="9"/>
      <c r="FZ800" s="9"/>
      <c r="GA800" s="9"/>
      <c r="GB800" s="9"/>
      <c r="GC800" s="9"/>
      <c r="GD800" s="9"/>
      <c r="GE800" s="9"/>
      <c r="GF800" s="9"/>
      <c r="GG800" s="9"/>
      <c r="GH800" s="9"/>
      <c r="GI800" s="9"/>
      <c r="GJ800" s="9"/>
      <c r="GK800" s="9"/>
      <c r="GL800" s="9"/>
      <c r="GM800" s="9"/>
      <c r="GN800" s="9"/>
      <c r="GO800" s="9"/>
      <c r="GP800" s="9"/>
      <c r="GQ800" s="9"/>
    </row>
    <row r="801" spans="2:199" ht="15"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  <c r="EC801" s="9"/>
      <c r="ED801" s="9"/>
      <c r="EE801" s="9"/>
      <c r="EF801" s="9"/>
      <c r="EG801" s="9"/>
      <c r="EH801" s="9"/>
      <c r="EI801" s="9"/>
      <c r="EJ801" s="9"/>
      <c r="EK801" s="9"/>
      <c r="EL801" s="9"/>
      <c r="EM801" s="9"/>
      <c r="EN801" s="9"/>
      <c r="EO801" s="9"/>
      <c r="EP801" s="9"/>
      <c r="EQ801" s="9"/>
      <c r="ER801" s="9"/>
      <c r="ES801" s="9"/>
      <c r="ET801" s="9"/>
      <c r="EU801" s="9"/>
      <c r="EV801" s="9"/>
      <c r="EW801" s="9"/>
      <c r="EX801" s="9"/>
      <c r="EY801" s="9"/>
      <c r="EZ801" s="9"/>
      <c r="FA801" s="9"/>
      <c r="FB801" s="9"/>
      <c r="FC801" s="9"/>
      <c r="FD801" s="9"/>
      <c r="FE801" s="9"/>
      <c r="FF801" s="9"/>
      <c r="FG801" s="9"/>
      <c r="FH801" s="9"/>
      <c r="FI801" s="9"/>
      <c r="FJ801" s="9"/>
      <c r="FK801" s="9"/>
      <c r="FL801" s="9"/>
      <c r="FM801" s="9"/>
      <c r="FN801" s="9"/>
      <c r="FO801" s="9"/>
      <c r="FP801" s="9"/>
      <c r="FQ801" s="9"/>
      <c r="FR801" s="9"/>
      <c r="FS801" s="9"/>
      <c r="FT801" s="9"/>
      <c r="FU801" s="9"/>
      <c r="FV801" s="9"/>
      <c r="FW801" s="9"/>
      <c r="FX801" s="9"/>
      <c r="FY801" s="9"/>
      <c r="FZ801" s="9"/>
      <c r="GA801" s="9"/>
      <c r="GB801" s="9"/>
      <c r="GC801" s="9"/>
      <c r="GD801" s="9"/>
      <c r="GE801" s="9"/>
      <c r="GF801" s="9"/>
      <c r="GG801" s="9"/>
      <c r="GH801" s="9"/>
      <c r="GI801" s="9"/>
      <c r="GJ801" s="9"/>
      <c r="GK801" s="9"/>
      <c r="GL801" s="9"/>
      <c r="GM801" s="9"/>
      <c r="GN801" s="9"/>
      <c r="GO801" s="9"/>
      <c r="GP801" s="9"/>
      <c r="GQ801" s="9"/>
    </row>
    <row r="802" spans="2:199" ht="15"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  <c r="EB802" s="9"/>
      <c r="EC802" s="9"/>
      <c r="ED802" s="9"/>
      <c r="EE802" s="9"/>
      <c r="EF802" s="9"/>
      <c r="EG802" s="9"/>
      <c r="EH802" s="9"/>
      <c r="EI802" s="9"/>
      <c r="EJ802" s="9"/>
      <c r="EK802" s="9"/>
      <c r="EL802" s="9"/>
      <c r="EM802" s="9"/>
      <c r="EN802" s="9"/>
      <c r="EO802" s="9"/>
      <c r="EP802" s="9"/>
      <c r="EQ802" s="9"/>
      <c r="ER802" s="9"/>
      <c r="ES802" s="9"/>
      <c r="ET802" s="9"/>
      <c r="EU802" s="9"/>
      <c r="EV802" s="9"/>
      <c r="EW802" s="9"/>
      <c r="EX802" s="9"/>
      <c r="EY802" s="9"/>
      <c r="EZ802" s="9"/>
      <c r="FA802" s="9"/>
      <c r="FB802" s="9"/>
      <c r="FC802" s="9"/>
      <c r="FD802" s="9"/>
      <c r="FE802" s="9"/>
      <c r="FF802" s="9"/>
      <c r="FG802" s="9"/>
      <c r="FH802" s="9"/>
      <c r="FI802" s="9"/>
      <c r="FJ802" s="9"/>
      <c r="FK802" s="9"/>
      <c r="FL802" s="9"/>
      <c r="FM802" s="9"/>
      <c r="FN802" s="9"/>
      <c r="FO802" s="9"/>
      <c r="FP802" s="9"/>
      <c r="FQ802" s="9"/>
      <c r="FR802" s="9"/>
      <c r="FS802" s="9"/>
      <c r="FT802" s="9"/>
      <c r="FU802" s="9"/>
      <c r="FV802" s="9"/>
      <c r="FW802" s="9"/>
      <c r="FX802" s="9"/>
      <c r="FY802" s="9"/>
      <c r="FZ802" s="9"/>
      <c r="GA802" s="9"/>
      <c r="GB802" s="9"/>
      <c r="GC802" s="9"/>
      <c r="GD802" s="9"/>
      <c r="GE802" s="9"/>
      <c r="GF802" s="9"/>
      <c r="GG802" s="9"/>
      <c r="GH802" s="9"/>
      <c r="GI802" s="9"/>
      <c r="GJ802" s="9"/>
      <c r="GK802" s="9"/>
      <c r="GL802" s="9"/>
      <c r="GM802" s="9"/>
      <c r="GN802" s="9"/>
      <c r="GO802" s="9"/>
      <c r="GP802" s="9"/>
      <c r="GQ802" s="9"/>
    </row>
    <row r="803" spans="2:199" ht="15"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/>
      <c r="EG803" s="9"/>
      <c r="EH803" s="9"/>
      <c r="EI803" s="9"/>
      <c r="EJ803" s="9"/>
      <c r="EK803" s="9"/>
      <c r="EL803" s="9"/>
      <c r="EM803" s="9"/>
      <c r="EN803" s="9"/>
      <c r="EO803" s="9"/>
      <c r="EP803" s="9"/>
      <c r="EQ803" s="9"/>
      <c r="ER803" s="9"/>
      <c r="ES803" s="9"/>
      <c r="ET803" s="9"/>
      <c r="EU803" s="9"/>
      <c r="EV803" s="9"/>
      <c r="EW803" s="9"/>
      <c r="EX803" s="9"/>
      <c r="EY803" s="9"/>
      <c r="EZ803" s="9"/>
      <c r="FA803" s="9"/>
      <c r="FB803" s="9"/>
      <c r="FC803" s="9"/>
      <c r="FD803" s="9"/>
      <c r="FE803" s="9"/>
      <c r="FF803" s="9"/>
      <c r="FG803" s="9"/>
      <c r="FH803" s="9"/>
      <c r="FI803" s="9"/>
      <c r="FJ803" s="9"/>
      <c r="FK803" s="9"/>
      <c r="FL803" s="9"/>
      <c r="FM803" s="9"/>
      <c r="FN803" s="9"/>
      <c r="FO803" s="9"/>
      <c r="FP803" s="9"/>
      <c r="FQ803" s="9"/>
      <c r="FR803" s="9"/>
      <c r="FS803" s="9"/>
      <c r="FT803" s="9"/>
      <c r="FU803" s="9"/>
      <c r="FV803" s="9"/>
      <c r="FW803" s="9"/>
      <c r="FX803" s="9"/>
      <c r="FY803" s="9"/>
      <c r="FZ803" s="9"/>
      <c r="GA803" s="9"/>
      <c r="GB803" s="9"/>
      <c r="GC803" s="9"/>
      <c r="GD803" s="9"/>
      <c r="GE803" s="9"/>
      <c r="GF803" s="9"/>
      <c r="GG803" s="9"/>
      <c r="GH803" s="9"/>
      <c r="GI803" s="9"/>
      <c r="GJ803" s="9"/>
      <c r="GK803" s="9"/>
      <c r="GL803" s="9"/>
      <c r="GM803" s="9"/>
      <c r="GN803" s="9"/>
      <c r="GO803" s="9"/>
      <c r="GP803" s="9"/>
      <c r="GQ803" s="9"/>
    </row>
    <row r="804" spans="2:199" ht="15"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  <c r="EB804" s="9"/>
      <c r="EC804" s="9"/>
      <c r="ED804" s="9"/>
      <c r="EE804" s="9"/>
      <c r="EF804" s="9"/>
      <c r="EG804" s="9"/>
      <c r="EH804" s="9"/>
      <c r="EI804" s="9"/>
      <c r="EJ804" s="9"/>
      <c r="EK804" s="9"/>
      <c r="EL804" s="9"/>
      <c r="EM804" s="9"/>
      <c r="EN804" s="9"/>
      <c r="EO804" s="9"/>
      <c r="EP804" s="9"/>
      <c r="EQ804" s="9"/>
      <c r="ER804" s="9"/>
      <c r="ES804" s="9"/>
      <c r="ET804" s="9"/>
      <c r="EU804" s="9"/>
      <c r="EV804" s="9"/>
      <c r="EW804" s="9"/>
      <c r="EX804" s="9"/>
      <c r="EY804" s="9"/>
      <c r="EZ804" s="9"/>
      <c r="FA804" s="9"/>
      <c r="FB804" s="9"/>
      <c r="FC804" s="9"/>
      <c r="FD804" s="9"/>
      <c r="FE804" s="9"/>
      <c r="FF804" s="9"/>
      <c r="FG804" s="9"/>
      <c r="FH804" s="9"/>
      <c r="FI804" s="9"/>
      <c r="FJ804" s="9"/>
      <c r="FK804" s="9"/>
      <c r="FL804" s="9"/>
      <c r="FM804" s="9"/>
      <c r="FN804" s="9"/>
      <c r="FO804" s="9"/>
      <c r="FP804" s="9"/>
      <c r="FQ804" s="9"/>
      <c r="FR804" s="9"/>
      <c r="FS804" s="9"/>
      <c r="FT804" s="9"/>
      <c r="FU804" s="9"/>
      <c r="FV804" s="9"/>
      <c r="FW804" s="9"/>
      <c r="FX804" s="9"/>
      <c r="FY804" s="9"/>
      <c r="FZ804" s="9"/>
      <c r="GA804" s="9"/>
      <c r="GB804" s="9"/>
      <c r="GC804" s="9"/>
      <c r="GD804" s="9"/>
      <c r="GE804" s="9"/>
      <c r="GF804" s="9"/>
      <c r="GG804" s="9"/>
      <c r="GH804" s="9"/>
      <c r="GI804" s="9"/>
      <c r="GJ804" s="9"/>
      <c r="GK804" s="9"/>
      <c r="GL804" s="9"/>
      <c r="GM804" s="9"/>
      <c r="GN804" s="9"/>
      <c r="GO804" s="9"/>
      <c r="GP804" s="9"/>
      <c r="GQ804" s="9"/>
    </row>
    <row r="805" spans="2:199" ht="15"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  <c r="DM805" s="9"/>
      <c r="DN805" s="9"/>
      <c r="DO805" s="9"/>
      <c r="DP805" s="9"/>
      <c r="DQ805" s="9"/>
      <c r="DR805" s="9"/>
      <c r="DS805" s="9"/>
      <c r="DT805" s="9"/>
      <c r="DU805" s="9"/>
      <c r="DV805" s="9"/>
      <c r="DW805" s="9"/>
      <c r="DX805" s="9"/>
      <c r="DY805" s="9"/>
      <c r="DZ805" s="9"/>
      <c r="EA805" s="9"/>
      <c r="EB805" s="9"/>
      <c r="EC805" s="9"/>
      <c r="ED805" s="9"/>
      <c r="EE805" s="9"/>
      <c r="EF805" s="9"/>
      <c r="EG805" s="9"/>
      <c r="EH805" s="9"/>
      <c r="EI805" s="9"/>
      <c r="EJ805" s="9"/>
      <c r="EK805" s="9"/>
      <c r="EL805" s="9"/>
      <c r="EM805" s="9"/>
      <c r="EN805" s="9"/>
      <c r="EO805" s="9"/>
      <c r="EP805" s="9"/>
      <c r="EQ805" s="9"/>
      <c r="ER805" s="9"/>
      <c r="ES805" s="9"/>
      <c r="ET805" s="9"/>
      <c r="EU805" s="9"/>
      <c r="EV805" s="9"/>
      <c r="EW805" s="9"/>
      <c r="EX805" s="9"/>
      <c r="EY805" s="9"/>
      <c r="EZ805" s="9"/>
      <c r="FA805" s="9"/>
      <c r="FB805" s="9"/>
      <c r="FC805" s="9"/>
      <c r="FD805" s="9"/>
      <c r="FE805" s="9"/>
      <c r="FF805" s="9"/>
      <c r="FG805" s="9"/>
      <c r="FH805" s="9"/>
      <c r="FI805" s="9"/>
      <c r="FJ805" s="9"/>
      <c r="FK805" s="9"/>
      <c r="FL805" s="9"/>
      <c r="FM805" s="9"/>
      <c r="FN805" s="9"/>
      <c r="FO805" s="9"/>
      <c r="FP805" s="9"/>
      <c r="FQ805" s="9"/>
      <c r="FR805" s="9"/>
      <c r="FS805" s="9"/>
      <c r="FT805" s="9"/>
      <c r="FU805" s="9"/>
      <c r="FV805" s="9"/>
      <c r="FW805" s="9"/>
      <c r="FX805" s="9"/>
      <c r="FY805" s="9"/>
      <c r="FZ805" s="9"/>
      <c r="GA805" s="9"/>
      <c r="GB805" s="9"/>
      <c r="GC805" s="9"/>
      <c r="GD805" s="9"/>
      <c r="GE805" s="9"/>
      <c r="GF805" s="9"/>
      <c r="GG805" s="9"/>
      <c r="GH805" s="9"/>
      <c r="GI805" s="9"/>
      <c r="GJ805" s="9"/>
      <c r="GK805" s="9"/>
      <c r="GL805" s="9"/>
      <c r="GM805" s="9"/>
      <c r="GN805" s="9"/>
      <c r="GO805" s="9"/>
      <c r="GP805" s="9"/>
      <c r="GQ805" s="9"/>
    </row>
    <row r="806" spans="2:199" ht="15"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  <c r="DM806" s="9"/>
      <c r="DN806" s="9"/>
      <c r="DO806" s="9"/>
      <c r="DP806" s="9"/>
      <c r="DQ806" s="9"/>
      <c r="DR806" s="9"/>
      <c r="DS806" s="9"/>
      <c r="DT806" s="9"/>
      <c r="DU806" s="9"/>
      <c r="DV806" s="9"/>
      <c r="DW806" s="9"/>
      <c r="DX806" s="9"/>
      <c r="DY806" s="9"/>
      <c r="DZ806" s="9"/>
      <c r="EA806" s="9"/>
      <c r="EB806" s="9"/>
      <c r="EC806" s="9"/>
      <c r="ED806" s="9"/>
      <c r="EE806" s="9"/>
      <c r="EF806" s="9"/>
      <c r="EG806" s="9"/>
      <c r="EH806" s="9"/>
      <c r="EI806" s="9"/>
      <c r="EJ806" s="9"/>
      <c r="EK806" s="9"/>
      <c r="EL806" s="9"/>
      <c r="EM806" s="9"/>
      <c r="EN806" s="9"/>
      <c r="EO806" s="9"/>
      <c r="EP806" s="9"/>
      <c r="EQ806" s="9"/>
      <c r="ER806" s="9"/>
      <c r="ES806" s="9"/>
      <c r="ET806" s="9"/>
      <c r="EU806" s="9"/>
      <c r="EV806" s="9"/>
      <c r="EW806" s="9"/>
      <c r="EX806" s="9"/>
      <c r="EY806" s="9"/>
      <c r="EZ806" s="9"/>
      <c r="FA806" s="9"/>
      <c r="FB806" s="9"/>
      <c r="FC806" s="9"/>
      <c r="FD806" s="9"/>
      <c r="FE806" s="9"/>
      <c r="FF806" s="9"/>
      <c r="FG806" s="9"/>
      <c r="FH806" s="9"/>
      <c r="FI806" s="9"/>
      <c r="FJ806" s="9"/>
      <c r="FK806" s="9"/>
      <c r="FL806" s="9"/>
      <c r="FM806" s="9"/>
      <c r="FN806" s="9"/>
      <c r="FO806" s="9"/>
      <c r="FP806" s="9"/>
      <c r="FQ806" s="9"/>
      <c r="FR806" s="9"/>
      <c r="FS806" s="9"/>
      <c r="FT806" s="9"/>
      <c r="FU806" s="9"/>
      <c r="FV806" s="9"/>
      <c r="FW806" s="9"/>
      <c r="FX806" s="9"/>
      <c r="FY806" s="9"/>
      <c r="FZ806" s="9"/>
      <c r="GA806" s="9"/>
      <c r="GB806" s="9"/>
      <c r="GC806" s="9"/>
      <c r="GD806" s="9"/>
      <c r="GE806" s="9"/>
      <c r="GF806" s="9"/>
      <c r="GG806" s="9"/>
      <c r="GH806" s="9"/>
      <c r="GI806" s="9"/>
      <c r="GJ806" s="9"/>
      <c r="GK806" s="9"/>
      <c r="GL806" s="9"/>
      <c r="GM806" s="9"/>
      <c r="GN806" s="9"/>
      <c r="GO806" s="9"/>
      <c r="GP806" s="9"/>
      <c r="GQ806" s="9"/>
    </row>
    <row r="807" spans="2:199" ht="15"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  <c r="EB807" s="9"/>
      <c r="EC807" s="9"/>
      <c r="ED807" s="9"/>
      <c r="EE807" s="9"/>
      <c r="EF807" s="9"/>
      <c r="EG807" s="9"/>
      <c r="EH807" s="9"/>
      <c r="EI807" s="9"/>
      <c r="EJ807" s="9"/>
      <c r="EK807" s="9"/>
      <c r="EL807" s="9"/>
      <c r="EM807" s="9"/>
      <c r="EN807" s="9"/>
      <c r="EO807" s="9"/>
      <c r="EP807" s="9"/>
      <c r="EQ807" s="9"/>
      <c r="ER807" s="9"/>
      <c r="ES807" s="9"/>
      <c r="ET807" s="9"/>
      <c r="EU807" s="9"/>
      <c r="EV807" s="9"/>
      <c r="EW807" s="9"/>
      <c r="EX807" s="9"/>
      <c r="EY807" s="9"/>
      <c r="EZ807" s="9"/>
      <c r="FA807" s="9"/>
      <c r="FB807" s="9"/>
      <c r="FC807" s="9"/>
      <c r="FD807" s="9"/>
      <c r="FE807" s="9"/>
      <c r="FF807" s="9"/>
      <c r="FG807" s="9"/>
      <c r="FH807" s="9"/>
      <c r="FI807" s="9"/>
      <c r="FJ807" s="9"/>
      <c r="FK807" s="9"/>
      <c r="FL807" s="9"/>
      <c r="FM807" s="9"/>
      <c r="FN807" s="9"/>
      <c r="FO807" s="9"/>
      <c r="FP807" s="9"/>
      <c r="FQ807" s="9"/>
      <c r="FR807" s="9"/>
      <c r="FS807" s="9"/>
      <c r="FT807" s="9"/>
      <c r="FU807" s="9"/>
      <c r="FV807" s="9"/>
      <c r="FW807" s="9"/>
      <c r="FX807" s="9"/>
      <c r="FY807" s="9"/>
      <c r="FZ807" s="9"/>
      <c r="GA807" s="9"/>
      <c r="GB807" s="9"/>
      <c r="GC807" s="9"/>
      <c r="GD807" s="9"/>
      <c r="GE807" s="9"/>
      <c r="GF807" s="9"/>
      <c r="GG807" s="9"/>
      <c r="GH807" s="9"/>
      <c r="GI807" s="9"/>
      <c r="GJ807" s="9"/>
      <c r="GK807" s="9"/>
      <c r="GL807" s="9"/>
      <c r="GM807" s="9"/>
      <c r="GN807" s="9"/>
      <c r="GO807" s="9"/>
      <c r="GP807" s="9"/>
      <c r="GQ807" s="9"/>
    </row>
    <row r="808" spans="2:199" ht="15"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  <c r="EC808" s="9"/>
      <c r="ED808" s="9"/>
      <c r="EE808" s="9"/>
      <c r="EF808" s="9"/>
      <c r="EG808" s="9"/>
      <c r="EH808" s="9"/>
      <c r="EI808" s="9"/>
      <c r="EJ808" s="9"/>
      <c r="EK808" s="9"/>
      <c r="EL808" s="9"/>
      <c r="EM808" s="9"/>
      <c r="EN808" s="9"/>
      <c r="EO808" s="9"/>
      <c r="EP808" s="9"/>
      <c r="EQ808" s="9"/>
      <c r="ER808" s="9"/>
      <c r="ES808" s="9"/>
      <c r="ET808" s="9"/>
      <c r="EU808" s="9"/>
      <c r="EV808" s="9"/>
      <c r="EW808" s="9"/>
      <c r="EX808" s="9"/>
      <c r="EY808" s="9"/>
      <c r="EZ808" s="9"/>
      <c r="FA808" s="9"/>
      <c r="FB808" s="9"/>
      <c r="FC808" s="9"/>
      <c r="FD808" s="9"/>
      <c r="FE808" s="9"/>
      <c r="FF808" s="9"/>
      <c r="FG808" s="9"/>
      <c r="FH808" s="9"/>
      <c r="FI808" s="9"/>
      <c r="FJ808" s="9"/>
      <c r="FK808" s="9"/>
      <c r="FL808" s="9"/>
      <c r="FM808" s="9"/>
      <c r="FN808" s="9"/>
      <c r="FO808" s="9"/>
      <c r="FP808" s="9"/>
      <c r="FQ808" s="9"/>
      <c r="FR808" s="9"/>
      <c r="FS808" s="9"/>
      <c r="FT808" s="9"/>
      <c r="FU808" s="9"/>
      <c r="FV808" s="9"/>
      <c r="FW808" s="9"/>
      <c r="FX808" s="9"/>
      <c r="FY808" s="9"/>
      <c r="FZ808" s="9"/>
      <c r="GA808" s="9"/>
      <c r="GB808" s="9"/>
      <c r="GC808" s="9"/>
      <c r="GD808" s="9"/>
      <c r="GE808" s="9"/>
      <c r="GF808" s="9"/>
      <c r="GG808" s="9"/>
      <c r="GH808" s="9"/>
      <c r="GI808" s="9"/>
      <c r="GJ808" s="9"/>
      <c r="GK808" s="9"/>
      <c r="GL808" s="9"/>
      <c r="GM808" s="9"/>
      <c r="GN808" s="9"/>
      <c r="GO808" s="9"/>
      <c r="GP808" s="9"/>
      <c r="GQ808" s="9"/>
    </row>
    <row r="809" spans="2:199" ht="15"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  <c r="EB809" s="9"/>
      <c r="EC809" s="9"/>
      <c r="ED809" s="9"/>
      <c r="EE809" s="9"/>
      <c r="EF809" s="9"/>
      <c r="EG809" s="9"/>
      <c r="EH809" s="9"/>
      <c r="EI809" s="9"/>
      <c r="EJ809" s="9"/>
      <c r="EK809" s="9"/>
      <c r="EL809" s="9"/>
      <c r="EM809" s="9"/>
      <c r="EN809" s="9"/>
      <c r="EO809" s="9"/>
      <c r="EP809" s="9"/>
      <c r="EQ809" s="9"/>
      <c r="ER809" s="9"/>
      <c r="ES809" s="9"/>
      <c r="ET809" s="9"/>
      <c r="EU809" s="9"/>
      <c r="EV809" s="9"/>
      <c r="EW809" s="9"/>
      <c r="EX809" s="9"/>
      <c r="EY809" s="9"/>
      <c r="EZ809" s="9"/>
      <c r="FA809" s="9"/>
      <c r="FB809" s="9"/>
      <c r="FC809" s="9"/>
      <c r="FD809" s="9"/>
      <c r="FE809" s="9"/>
      <c r="FF809" s="9"/>
      <c r="FG809" s="9"/>
      <c r="FH809" s="9"/>
      <c r="FI809" s="9"/>
      <c r="FJ809" s="9"/>
      <c r="FK809" s="9"/>
      <c r="FL809" s="9"/>
      <c r="FM809" s="9"/>
      <c r="FN809" s="9"/>
      <c r="FO809" s="9"/>
      <c r="FP809" s="9"/>
      <c r="FQ809" s="9"/>
      <c r="FR809" s="9"/>
      <c r="FS809" s="9"/>
      <c r="FT809" s="9"/>
      <c r="FU809" s="9"/>
      <c r="FV809" s="9"/>
      <c r="FW809" s="9"/>
      <c r="FX809" s="9"/>
      <c r="FY809" s="9"/>
      <c r="FZ809" s="9"/>
      <c r="GA809" s="9"/>
      <c r="GB809" s="9"/>
      <c r="GC809" s="9"/>
      <c r="GD809" s="9"/>
      <c r="GE809" s="9"/>
      <c r="GF809" s="9"/>
      <c r="GG809" s="9"/>
      <c r="GH809" s="9"/>
      <c r="GI809" s="9"/>
      <c r="GJ809" s="9"/>
      <c r="GK809" s="9"/>
      <c r="GL809" s="9"/>
      <c r="GM809" s="9"/>
      <c r="GN809" s="9"/>
      <c r="GO809" s="9"/>
      <c r="GP809" s="9"/>
      <c r="GQ809" s="9"/>
    </row>
    <row r="810" spans="2:199" ht="15"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  <c r="EC810" s="9"/>
      <c r="ED810" s="9"/>
      <c r="EE810" s="9"/>
      <c r="EF810" s="9"/>
      <c r="EG810" s="9"/>
      <c r="EH810" s="9"/>
      <c r="EI810" s="9"/>
      <c r="EJ810" s="9"/>
      <c r="EK810" s="9"/>
      <c r="EL810" s="9"/>
      <c r="EM810" s="9"/>
      <c r="EN810" s="9"/>
      <c r="EO810" s="9"/>
      <c r="EP810" s="9"/>
      <c r="EQ810" s="9"/>
      <c r="ER810" s="9"/>
      <c r="ES810" s="9"/>
      <c r="ET810" s="9"/>
      <c r="EU810" s="9"/>
      <c r="EV810" s="9"/>
      <c r="EW810" s="9"/>
      <c r="EX810" s="9"/>
      <c r="EY810" s="9"/>
      <c r="EZ810" s="9"/>
      <c r="FA810" s="9"/>
      <c r="FB810" s="9"/>
      <c r="FC810" s="9"/>
      <c r="FD810" s="9"/>
      <c r="FE810" s="9"/>
      <c r="FF810" s="9"/>
      <c r="FG810" s="9"/>
      <c r="FH810" s="9"/>
      <c r="FI810" s="9"/>
      <c r="FJ810" s="9"/>
      <c r="FK810" s="9"/>
      <c r="FL810" s="9"/>
      <c r="FM810" s="9"/>
      <c r="FN810" s="9"/>
      <c r="FO810" s="9"/>
      <c r="FP810" s="9"/>
      <c r="FQ810" s="9"/>
      <c r="FR810" s="9"/>
      <c r="FS810" s="9"/>
      <c r="FT810" s="9"/>
      <c r="FU810" s="9"/>
      <c r="FV810" s="9"/>
      <c r="FW810" s="9"/>
      <c r="FX810" s="9"/>
      <c r="FY810" s="9"/>
      <c r="FZ810" s="9"/>
      <c r="GA810" s="9"/>
      <c r="GB810" s="9"/>
      <c r="GC810" s="9"/>
      <c r="GD810" s="9"/>
      <c r="GE810" s="9"/>
      <c r="GF810" s="9"/>
      <c r="GG810" s="9"/>
      <c r="GH810" s="9"/>
      <c r="GI810" s="9"/>
      <c r="GJ810" s="9"/>
      <c r="GK810" s="9"/>
      <c r="GL810" s="9"/>
      <c r="GM810" s="9"/>
      <c r="GN810" s="9"/>
      <c r="GO810" s="9"/>
      <c r="GP810" s="9"/>
      <c r="GQ810" s="9"/>
    </row>
    <row r="811" spans="2:199" ht="15"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  <c r="DM811" s="9"/>
      <c r="DN811" s="9"/>
      <c r="DO811" s="9"/>
      <c r="DP811" s="9"/>
      <c r="DQ811" s="9"/>
      <c r="DR811" s="9"/>
      <c r="DS811" s="9"/>
      <c r="DT811" s="9"/>
      <c r="DU811" s="9"/>
      <c r="DV811" s="9"/>
      <c r="DW811" s="9"/>
      <c r="DX811" s="9"/>
      <c r="DY811" s="9"/>
      <c r="DZ811" s="9"/>
      <c r="EA811" s="9"/>
      <c r="EB811" s="9"/>
      <c r="EC811" s="9"/>
      <c r="ED811" s="9"/>
      <c r="EE811" s="9"/>
      <c r="EF811" s="9"/>
      <c r="EG811" s="9"/>
      <c r="EH811" s="9"/>
      <c r="EI811" s="9"/>
      <c r="EJ811" s="9"/>
      <c r="EK811" s="9"/>
      <c r="EL811" s="9"/>
      <c r="EM811" s="9"/>
      <c r="EN811" s="9"/>
      <c r="EO811" s="9"/>
      <c r="EP811" s="9"/>
      <c r="EQ811" s="9"/>
      <c r="ER811" s="9"/>
      <c r="ES811" s="9"/>
      <c r="ET811" s="9"/>
      <c r="EU811" s="9"/>
      <c r="EV811" s="9"/>
      <c r="EW811" s="9"/>
      <c r="EX811" s="9"/>
      <c r="EY811" s="9"/>
      <c r="EZ811" s="9"/>
      <c r="FA811" s="9"/>
      <c r="FB811" s="9"/>
      <c r="FC811" s="9"/>
      <c r="FD811" s="9"/>
      <c r="FE811" s="9"/>
      <c r="FF811" s="9"/>
      <c r="FG811" s="9"/>
      <c r="FH811" s="9"/>
      <c r="FI811" s="9"/>
      <c r="FJ811" s="9"/>
      <c r="FK811" s="9"/>
      <c r="FL811" s="9"/>
      <c r="FM811" s="9"/>
      <c r="FN811" s="9"/>
      <c r="FO811" s="9"/>
      <c r="FP811" s="9"/>
      <c r="FQ811" s="9"/>
      <c r="FR811" s="9"/>
      <c r="FS811" s="9"/>
      <c r="FT811" s="9"/>
      <c r="FU811" s="9"/>
      <c r="FV811" s="9"/>
      <c r="FW811" s="9"/>
      <c r="FX811" s="9"/>
      <c r="FY811" s="9"/>
      <c r="FZ811" s="9"/>
      <c r="GA811" s="9"/>
      <c r="GB811" s="9"/>
      <c r="GC811" s="9"/>
      <c r="GD811" s="9"/>
      <c r="GE811" s="9"/>
      <c r="GF811" s="9"/>
      <c r="GG811" s="9"/>
      <c r="GH811" s="9"/>
      <c r="GI811" s="9"/>
      <c r="GJ811" s="9"/>
      <c r="GK811" s="9"/>
      <c r="GL811" s="9"/>
      <c r="GM811" s="9"/>
      <c r="GN811" s="9"/>
      <c r="GO811" s="9"/>
      <c r="GP811" s="9"/>
      <c r="GQ811" s="9"/>
    </row>
    <row r="812" spans="2:199" ht="15"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  <c r="DM812" s="9"/>
      <c r="DN812" s="9"/>
      <c r="DO812" s="9"/>
      <c r="DP812" s="9"/>
      <c r="DQ812" s="9"/>
      <c r="DR812" s="9"/>
      <c r="DS812" s="9"/>
      <c r="DT812" s="9"/>
      <c r="DU812" s="9"/>
      <c r="DV812" s="9"/>
      <c r="DW812" s="9"/>
      <c r="DX812" s="9"/>
      <c r="DY812" s="9"/>
      <c r="DZ812" s="9"/>
      <c r="EA812" s="9"/>
      <c r="EB812" s="9"/>
      <c r="EC812" s="9"/>
      <c r="ED812" s="9"/>
      <c r="EE812" s="9"/>
      <c r="EF812" s="9"/>
      <c r="EG812" s="9"/>
      <c r="EH812" s="9"/>
      <c r="EI812" s="9"/>
      <c r="EJ812" s="9"/>
      <c r="EK812" s="9"/>
      <c r="EL812" s="9"/>
      <c r="EM812" s="9"/>
      <c r="EN812" s="9"/>
      <c r="EO812" s="9"/>
      <c r="EP812" s="9"/>
      <c r="EQ812" s="9"/>
      <c r="ER812" s="9"/>
      <c r="ES812" s="9"/>
      <c r="ET812" s="9"/>
      <c r="EU812" s="9"/>
      <c r="EV812" s="9"/>
      <c r="EW812" s="9"/>
      <c r="EX812" s="9"/>
      <c r="EY812" s="9"/>
      <c r="EZ812" s="9"/>
      <c r="FA812" s="9"/>
      <c r="FB812" s="9"/>
      <c r="FC812" s="9"/>
      <c r="FD812" s="9"/>
      <c r="FE812" s="9"/>
      <c r="FF812" s="9"/>
      <c r="FG812" s="9"/>
      <c r="FH812" s="9"/>
      <c r="FI812" s="9"/>
      <c r="FJ812" s="9"/>
      <c r="FK812" s="9"/>
      <c r="FL812" s="9"/>
      <c r="FM812" s="9"/>
      <c r="FN812" s="9"/>
      <c r="FO812" s="9"/>
      <c r="FP812" s="9"/>
      <c r="FQ812" s="9"/>
      <c r="FR812" s="9"/>
      <c r="FS812" s="9"/>
      <c r="FT812" s="9"/>
      <c r="FU812" s="9"/>
      <c r="FV812" s="9"/>
      <c r="FW812" s="9"/>
      <c r="FX812" s="9"/>
      <c r="FY812" s="9"/>
      <c r="FZ812" s="9"/>
      <c r="GA812" s="9"/>
      <c r="GB812" s="9"/>
      <c r="GC812" s="9"/>
      <c r="GD812" s="9"/>
      <c r="GE812" s="9"/>
      <c r="GF812" s="9"/>
      <c r="GG812" s="9"/>
      <c r="GH812" s="9"/>
      <c r="GI812" s="9"/>
      <c r="GJ812" s="9"/>
      <c r="GK812" s="9"/>
      <c r="GL812" s="9"/>
      <c r="GM812" s="9"/>
      <c r="GN812" s="9"/>
      <c r="GO812" s="9"/>
      <c r="GP812" s="9"/>
      <c r="GQ812" s="9"/>
    </row>
    <row r="813" spans="2:199" ht="15"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  <c r="EF813" s="9"/>
      <c r="EG813" s="9"/>
      <c r="EH813" s="9"/>
      <c r="EI813" s="9"/>
      <c r="EJ813" s="9"/>
      <c r="EK813" s="9"/>
      <c r="EL813" s="9"/>
      <c r="EM813" s="9"/>
      <c r="EN813" s="9"/>
      <c r="EO813" s="9"/>
      <c r="EP813" s="9"/>
      <c r="EQ813" s="9"/>
      <c r="ER813" s="9"/>
      <c r="ES813" s="9"/>
      <c r="ET813" s="9"/>
      <c r="EU813" s="9"/>
      <c r="EV813" s="9"/>
      <c r="EW813" s="9"/>
      <c r="EX813" s="9"/>
      <c r="EY813" s="9"/>
      <c r="EZ813" s="9"/>
      <c r="FA813" s="9"/>
      <c r="FB813" s="9"/>
      <c r="FC813" s="9"/>
      <c r="FD813" s="9"/>
      <c r="FE813" s="9"/>
      <c r="FF813" s="9"/>
      <c r="FG813" s="9"/>
      <c r="FH813" s="9"/>
      <c r="FI813" s="9"/>
      <c r="FJ813" s="9"/>
      <c r="FK813" s="9"/>
      <c r="FL813" s="9"/>
      <c r="FM813" s="9"/>
      <c r="FN813" s="9"/>
      <c r="FO813" s="9"/>
      <c r="FP813" s="9"/>
      <c r="FQ813" s="9"/>
      <c r="FR813" s="9"/>
      <c r="FS813" s="9"/>
      <c r="FT813" s="9"/>
      <c r="FU813" s="9"/>
      <c r="FV813" s="9"/>
      <c r="FW813" s="9"/>
      <c r="FX813" s="9"/>
      <c r="FY813" s="9"/>
      <c r="FZ813" s="9"/>
      <c r="GA813" s="9"/>
      <c r="GB813" s="9"/>
      <c r="GC813" s="9"/>
      <c r="GD813" s="9"/>
      <c r="GE813" s="9"/>
      <c r="GF813" s="9"/>
      <c r="GG813" s="9"/>
      <c r="GH813" s="9"/>
      <c r="GI813" s="9"/>
      <c r="GJ813" s="9"/>
      <c r="GK813" s="9"/>
      <c r="GL813" s="9"/>
      <c r="GM813" s="9"/>
      <c r="GN813" s="9"/>
      <c r="GO813" s="9"/>
      <c r="GP813" s="9"/>
      <c r="GQ813" s="9"/>
    </row>
    <row r="814" spans="2:199" ht="15"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  <c r="EB814" s="9"/>
      <c r="EC814" s="9"/>
      <c r="ED814" s="9"/>
      <c r="EE814" s="9"/>
      <c r="EF814" s="9"/>
      <c r="EG814" s="9"/>
      <c r="EH814" s="9"/>
      <c r="EI814" s="9"/>
      <c r="EJ814" s="9"/>
      <c r="EK814" s="9"/>
      <c r="EL814" s="9"/>
      <c r="EM814" s="9"/>
      <c r="EN814" s="9"/>
      <c r="EO814" s="9"/>
      <c r="EP814" s="9"/>
      <c r="EQ814" s="9"/>
      <c r="ER814" s="9"/>
      <c r="ES814" s="9"/>
      <c r="ET814" s="9"/>
      <c r="EU814" s="9"/>
      <c r="EV814" s="9"/>
      <c r="EW814" s="9"/>
      <c r="EX814" s="9"/>
      <c r="EY814" s="9"/>
      <c r="EZ814" s="9"/>
      <c r="FA814" s="9"/>
      <c r="FB814" s="9"/>
      <c r="FC814" s="9"/>
      <c r="FD814" s="9"/>
      <c r="FE814" s="9"/>
      <c r="FF814" s="9"/>
      <c r="FG814" s="9"/>
      <c r="FH814" s="9"/>
      <c r="FI814" s="9"/>
      <c r="FJ814" s="9"/>
      <c r="FK814" s="9"/>
      <c r="FL814" s="9"/>
      <c r="FM814" s="9"/>
      <c r="FN814" s="9"/>
      <c r="FO814" s="9"/>
      <c r="FP814" s="9"/>
      <c r="FQ814" s="9"/>
      <c r="FR814" s="9"/>
      <c r="FS814" s="9"/>
      <c r="FT814" s="9"/>
      <c r="FU814" s="9"/>
      <c r="FV814" s="9"/>
      <c r="FW814" s="9"/>
      <c r="FX814" s="9"/>
      <c r="FY814" s="9"/>
      <c r="FZ814" s="9"/>
      <c r="GA814" s="9"/>
      <c r="GB814" s="9"/>
      <c r="GC814" s="9"/>
      <c r="GD814" s="9"/>
      <c r="GE814" s="9"/>
      <c r="GF814" s="9"/>
      <c r="GG814" s="9"/>
      <c r="GH814" s="9"/>
      <c r="GI814" s="9"/>
      <c r="GJ814" s="9"/>
      <c r="GK814" s="9"/>
      <c r="GL814" s="9"/>
      <c r="GM814" s="9"/>
      <c r="GN814" s="9"/>
      <c r="GO814" s="9"/>
      <c r="GP814" s="9"/>
      <c r="GQ814" s="9"/>
    </row>
    <row r="815" spans="2:199" ht="15"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/>
      <c r="DV815" s="9"/>
      <c r="DW815" s="9"/>
      <c r="DX815" s="9"/>
      <c r="DY815" s="9"/>
      <c r="DZ815" s="9"/>
      <c r="EA815" s="9"/>
      <c r="EB815" s="9"/>
      <c r="EC815" s="9"/>
      <c r="ED815" s="9"/>
      <c r="EE815" s="9"/>
      <c r="EF815" s="9"/>
      <c r="EG815" s="9"/>
      <c r="EH815" s="9"/>
      <c r="EI815" s="9"/>
      <c r="EJ815" s="9"/>
      <c r="EK815" s="9"/>
      <c r="EL815" s="9"/>
      <c r="EM815" s="9"/>
      <c r="EN815" s="9"/>
      <c r="EO815" s="9"/>
      <c r="EP815" s="9"/>
      <c r="EQ815" s="9"/>
      <c r="ER815" s="9"/>
      <c r="ES815" s="9"/>
      <c r="ET815" s="9"/>
      <c r="EU815" s="9"/>
      <c r="EV815" s="9"/>
      <c r="EW815" s="9"/>
      <c r="EX815" s="9"/>
      <c r="EY815" s="9"/>
      <c r="EZ815" s="9"/>
      <c r="FA815" s="9"/>
      <c r="FB815" s="9"/>
      <c r="FC815" s="9"/>
      <c r="FD815" s="9"/>
      <c r="FE815" s="9"/>
      <c r="FF815" s="9"/>
      <c r="FG815" s="9"/>
      <c r="FH815" s="9"/>
      <c r="FI815" s="9"/>
      <c r="FJ815" s="9"/>
      <c r="FK815" s="9"/>
      <c r="FL815" s="9"/>
      <c r="FM815" s="9"/>
      <c r="FN815" s="9"/>
      <c r="FO815" s="9"/>
      <c r="FP815" s="9"/>
      <c r="FQ815" s="9"/>
      <c r="FR815" s="9"/>
      <c r="FS815" s="9"/>
      <c r="FT815" s="9"/>
      <c r="FU815" s="9"/>
      <c r="FV815" s="9"/>
      <c r="FW815" s="9"/>
      <c r="FX815" s="9"/>
      <c r="FY815" s="9"/>
      <c r="FZ815" s="9"/>
      <c r="GA815" s="9"/>
      <c r="GB815" s="9"/>
      <c r="GC815" s="9"/>
      <c r="GD815" s="9"/>
      <c r="GE815" s="9"/>
      <c r="GF815" s="9"/>
      <c r="GG815" s="9"/>
      <c r="GH815" s="9"/>
      <c r="GI815" s="9"/>
      <c r="GJ815" s="9"/>
      <c r="GK815" s="9"/>
      <c r="GL815" s="9"/>
      <c r="GM815" s="9"/>
      <c r="GN815" s="9"/>
      <c r="GO815" s="9"/>
      <c r="GP815" s="9"/>
      <c r="GQ815" s="9"/>
    </row>
    <row r="816" spans="2:199" ht="15"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  <c r="EF816" s="9"/>
      <c r="EG816" s="9"/>
      <c r="EH816" s="9"/>
      <c r="EI816" s="9"/>
      <c r="EJ816" s="9"/>
      <c r="EK816" s="9"/>
      <c r="EL816" s="9"/>
      <c r="EM816" s="9"/>
      <c r="EN816" s="9"/>
      <c r="EO816" s="9"/>
      <c r="EP816" s="9"/>
      <c r="EQ816" s="9"/>
      <c r="ER816" s="9"/>
      <c r="ES816" s="9"/>
      <c r="ET816" s="9"/>
      <c r="EU816" s="9"/>
      <c r="EV816" s="9"/>
      <c r="EW816" s="9"/>
      <c r="EX816" s="9"/>
      <c r="EY816" s="9"/>
      <c r="EZ816" s="9"/>
      <c r="FA816" s="9"/>
      <c r="FB816" s="9"/>
      <c r="FC816" s="9"/>
      <c r="FD816" s="9"/>
      <c r="FE816" s="9"/>
      <c r="FF816" s="9"/>
      <c r="FG816" s="9"/>
      <c r="FH816" s="9"/>
      <c r="FI816" s="9"/>
      <c r="FJ816" s="9"/>
      <c r="FK816" s="9"/>
      <c r="FL816" s="9"/>
      <c r="FM816" s="9"/>
      <c r="FN816" s="9"/>
      <c r="FO816" s="9"/>
      <c r="FP816" s="9"/>
      <c r="FQ816" s="9"/>
      <c r="FR816" s="9"/>
      <c r="FS816" s="9"/>
      <c r="FT816" s="9"/>
      <c r="FU816" s="9"/>
      <c r="FV816" s="9"/>
      <c r="FW816" s="9"/>
      <c r="FX816" s="9"/>
      <c r="FY816" s="9"/>
      <c r="FZ816" s="9"/>
      <c r="GA816" s="9"/>
      <c r="GB816" s="9"/>
      <c r="GC816" s="9"/>
      <c r="GD816" s="9"/>
      <c r="GE816" s="9"/>
      <c r="GF816" s="9"/>
      <c r="GG816" s="9"/>
      <c r="GH816" s="9"/>
      <c r="GI816" s="9"/>
      <c r="GJ816" s="9"/>
      <c r="GK816" s="9"/>
      <c r="GL816" s="9"/>
      <c r="GM816" s="9"/>
      <c r="GN816" s="9"/>
      <c r="GO816" s="9"/>
      <c r="GP816" s="9"/>
      <c r="GQ816" s="9"/>
    </row>
    <row r="817" spans="2:199" ht="15"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  <c r="EC817" s="9"/>
      <c r="ED817" s="9"/>
      <c r="EE817" s="9"/>
      <c r="EF817" s="9"/>
      <c r="EG817" s="9"/>
      <c r="EH817" s="9"/>
      <c r="EI817" s="9"/>
      <c r="EJ817" s="9"/>
      <c r="EK817" s="9"/>
      <c r="EL817" s="9"/>
      <c r="EM817" s="9"/>
      <c r="EN817" s="9"/>
      <c r="EO817" s="9"/>
      <c r="EP817" s="9"/>
      <c r="EQ817" s="9"/>
      <c r="ER817" s="9"/>
      <c r="ES817" s="9"/>
      <c r="ET817" s="9"/>
      <c r="EU817" s="9"/>
      <c r="EV817" s="9"/>
      <c r="EW817" s="9"/>
      <c r="EX817" s="9"/>
      <c r="EY817" s="9"/>
      <c r="EZ817" s="9"/>
      <c r="FA817" s="9"/>
      <c r="FB817" s="9"/>
      <c r="FC817" s="9"/>
      <c r="FD817" s="9"/>
      <c r="FE817" s="9"/>
      <c r="FF817" s="9"/>
      <c r="FG817" s="9"/>
      <c r="FH817" s="9"/>
      <c r="FI817" s="9"/>
      <c r="FJ817" s="9"/>
      <c r="FK817" s="9"/>
      <c r="FL817" s="9"/>
      <c r="FM817" s="9"/>
      <c r="FN817" s="9"/>
      <c r="FO817" s="9"/>
      <c r="FP817" s="9"/>
      <c r="FQ817" s="9"/>
      <c r="FR817" s="9"/>
      <c r="FS817" s="9"/>
      <c r="FT817" s="9"/>
      <c r="FU817" s="9"/>
      <c r="FV817" s="9"/>
      <c r="FW817" s="9"/>
      <c r="FX817" s="9"/>
      <c r="FY817" s="9"/>
      <c r="FZ817" s="9"/>
      <c r="GA817" s="9"/>
      <c r="GB817" s="9"/>
      <c r="GC817" s="9"/>
      <c r="GD817" s="9"/>
      <c r="GE817" s="9"/>
      <c r="GF817" s="9"/>
      <c r="GG817" s="9"/>
      <c r="GH817" s="9"/>
      <c r="GI817" s="9"/>
      <c r="GJ817" s="9"/>
      <c r="GK817" s="9"/>
      <c r="GL817" s="9"/>
      <c r="GM817" s="9"/>
      <c r="GN817" s="9"/>
      <c r="GO817" s="9"/>
      <c r="GP817" s="9"/>
      <c r="GQ817" s="9"/>
    </row>
    <row r="818" spans="2:199" ht="15"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  <c r="EF818" s="9"/>
      <c r="EG818" s="9"/>
      <c r="EH818" s="9"/>
      <c r="EI818" s="9"/>
      <c r="EJ818" s="9"/>
      <c r="EK818" s="9"/>
      <c r="EL818" s="9"/>
      <c r="EM818" s="9"/>
      <c r="EN818" s="9"/>
      <c r="EO818" s="9"/>
      <c r="EP818" s="9"/>
      <c r="EQ818" s="9"/>
      <c r="ER818" s="9"/>
      <c r="ES818" s="9"/>
      <c r="ET818" s="9"/>
      <c r="EU818" s="9"/>
      <c r="EV818" s="9"/>
      <c r="EW818" s="9"/>
      <c r="EX818" s="9"/>
      <c r="EY818" s="9"/>
      <c r="EZ818" s="9"/>
      <c r="FA818" s="9"/>
      <c r="FB818" s="9"/>
      <c r="FC818" s="9"/>
      <c r="FD818" s="9"/>
      <c r="FE818" s="9"/>
      <c r="FF818" s="9"/>
      <c r="FG818" s="9"/>
      <c r="FH818" s="9"/>
      <c r="FI818" s="9"/>
      <c r="FJ818" s="9"/>
      <c r="FK818" s="9"/>
      <c r="FL818" s="9"/>
      <c r="FM818" s="9"/>
      <c r="FN818" s="9"/>
      <c r="FO818" s="9"/>
      <c r="FP818" s="9"/>
      <c r="FQ818" s="9"/>
      <c r="FR818" s="9"/>
      <c r="FS818" s="9"/>
      <c r="FT818" s="9"/>
      <c r="FU818" s="9"/>
      <c r="FV818" s="9"/>
      <c r="FW818" s="9"/>
      <c r="FX818" s="9"/>
      <c r="FY818" s="9"/>
      <c r="FZ818" s="9"/>
      <c r="GA818" s="9"/>
      <c r="GB818" s="9"/>
      <c r="GC818" s="9"/>
      <c r="GD818" s="9"/>
      <c r="GE818" s="9"/>
      <c r="GF818" s="9"/>
      <c r="GG818" s="9"/>
      <c r="GH818" s="9"/>
      <c r="GI818" s="9"/>
      <c r="GJ818" s="9"/>
      <c r="GK818" s="9"/>
      <c r="GL818" s="9"/>
      <c r="GM818" s="9"/>
      <c r="GN818" s="9"/>
      <c r="GO818" s="9"/>
      <c r="GP818" s="9"/>
      <c r="GQ818" s="9"/>
    </row>
    <row r="819" spans="2:199" ht="15"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  <c r="EB819" s="9"/>
      <c r="EC819" s="9"/>
      <c r="ED819" s="9"/>
      <c r="EE819" s="9"/>
      <c r="EF819" s="9"/>
      <c r="EG819" s="9"/>
      <c r="EH819" s="9"/>
      <c r="EI819" s="9"/>
      <c r="EJ819" s="9"/>
      <c r="EK819" s="9"/>
      <c r="EL819" s="9"/>
      <c r="EM819" s="9"/>
      <c r="EN819" s="9"/>
      <c r="EO819" s="9"/>
      <c r="EP819" s="9"/>
      <c r="EQ819" s="9"/>
      <c r="ER819" s="9"/>
      <c r="ES819" s="9"/>
      <c r="ET819" s="9"/>
      <c r="EU819" s="9"/>
      <c r="EV819" s="9"/>
      <c r="EW819" s="9"/>
      <c r="EX819" s="9"/>
      <c r="EY819" s="9"/>
      <c r="EZ819" s="9"/>
      <c r="FA819" s="9"/>
      <c r="FB819" s="9"/>
      <c r="FC819" s="9"/>
      <c r="FD819" s="9"/>
      <c r="FE819" s="9"/>
      <c r="FF819" s="9"/>
      <c r="FG819" s="9"/>
      <c r="FH819" s="9"/>
      <c r="FI819" s="9"/>
      <c r="FJ819" s="9"/>
      <c r="FK819" s="9"/>
      <c r="FL819" s="9"/>
      <c r="FM819" s="9"/>
      <c r="FN819" s="9"/>
      <c r="FO819" s="9"/>
      <c r="FP819" s="9"/>
      <c r="FQ819" s="9"/>
      <c r="FR819" s="9"/>
      <c r="FS819" s="9"/>
      <c r="FT819" s="9"/>
      <c r="FU819" s="9"/>
      <c r="FV819" s="9"/>
      <c r="FW819" s="9"/>
      <c r="FX819" s="9"/>
      <c r="FY819" s="9"/>
      <c r="FZ819" s="9"/>
      <c r="GA819" s="9"/>
      <c r="GB819" s="9"/>
      <c r="GC819" s="9"/>
      <c r="GD819" s="9"/>
      <c r="GE819" s="9"/>
      <c r="GF819" s="9"/>
      <c r="GG819" s="9"/>
      <c r="GH819" s="9"/>
      <c r="GI819" s="9"/>
      <c r="GJ819" s="9"/>
      <c r="GK819" s="9"/>
      <c r="GL819" s="9"/>
      <c r="GM819" s="9"/>
      <c r="GN819" s="9"/>
      <c r="GO819" s="9"/>
      <c r="GP819" s="9"/>
      <c r="GQ819" s="9"/>
    </row>
    <row r="820" spans="2:199" ht="15"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  <c r="EC820" s="9"/>
      <c r="ED820" s="9"/>
      <c r="EE820" s="9"/>
      <c r="EF820" s="9"/>
      <c r="EG820" s="9"/>
      <c r="EH820" s="9"/>
      <c r="EI820" s="9"/>
      <c r="EJ820" s="9"/>
      <c r="EK820" s="9"/>
      <c r="EL820" s="9"/>
      <c r="EM820" s="9"/>
      <c r="EN820" s="9"/>
      <c r="EO820" s="9"/>
      <c r="EP820" s="9"/>
      <c r="EQ820" s="9"/>
      <c r="ER820" s="9"/>
      <c r="ES820" s="9"/>
      <c r="ET820" s="9"/>
      <c r="EU820" s="9"/>
      <c r="EV820" s="9"/>
      <c r="EW820" s="9"/>
      <c r="EX820" s="9"/>
      <c r="EY820" s="9"/>
      <c r="EZ820" s="9"/>
      <c r="FA820" s="9"/>
      <c r="FB820" s="9"/>
      <c r="FC820" s="9"/>
      <c r="FD820" s="9"/>
      <c r="FE820" s="9"/>
      <c r="FF820" s="9"/>
      <c r="FG820" s="9"/>
      <c r="FH820" s="9"/>
      <c r="FI820" s="9"/>
      <c r="FJ820" s="9"/>
      <c r="FK820" s="9"/>
      <c r="FL820" s="9"/>
      <c r="FM820" s="9"/>
      <c r="FN820" s="9"/>
      <c r="FO820" s="9"/>
      <c r="FP820" s="9"/>
      <c r="FQ820" s="9"/>
      <c r="FR820" s="9"/>
      <c r="FS820" s="9"/>
      <c r="FT820" s="9"/>
      <c r="FU820" s="9"/>
      <c r="FV820" s="9"/>
      <c r="FW820" s="9"/>
      <c r="FX820" s="9"/>
      <c r="FY820" s="9"/>
      <c r="FZ820" s="9"/>
      <c r="GA820" s="9"/>
      <c r="GB820" s="9"/>
      <c r="GC820" s="9"/>
      <c r="GD820" s="9"/>
      <c r="GE820" s="9"/>
      <c r="GF820" s="9"/>
      <c r="GG820" s="9"/>
      <c r="GH820" s="9"/>
      <c r="GI820" s="9"/>
      <c r="GJ820" s="9"/>
      <c r="GK820" s="9"/>
      <c r="GL820" s="9"/>
      <c r="GM820" s="9"/>
      <c r="GN820" s="9"/>
      <c r="GO820" s="9"/>
      <c r="GP820" s="9"/>
      <c r="GQ820" s="9"/>
    </row>
    <row r="821" spans="2:199" ht="15"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/>
      <c r="EG821" s="9"/>
      <c r="EH821" s="9"/>
      <c r="EI821" s="9"/>
      <c r="EJ821" s="9"/>
      <c r="EK821" s="9"/>
      <c r="EL821" s="9"/>
      <c r="EM821" s="9"/>
      <c r="EN821" s="9"/>
      <c r="EO821" s="9"/>
      <c r="EP821" s="9"/>
      <c r="EQ821" s="9"/>
      <c r="ER821" s="9"/>
      <c r="ES821" s="9"/>
      <c r="ET821" s="9"/>
      <c r="EU821" s="9"/>
      <c r="EV821" s="9"/>
      <c r="EW821" s="9"/>
      <c r="EX821" s="9"/>
      <c r="EY821" s="9"/>
      <c r="EZ821" s="9"/>
      <c r="FA821" s="9"/>
      <c r="FB821" s="9"/>
      <c r="FC821" s="9"/>
      <c r="FD821" s="9"/>
      <c r="FE821" s="9"/>
      <c r="FF821" s="9"/>
      <c r="FG821" s="9"/>
      <c r="FH821" s="9"/>
      <c r="FI821" s="9"/>
      <c r="FJ821" s="9"/>
      <c r="FK821" s="9"/>
      <c r="FL821" s="9"/>
      <c r="FM821" s="9"/>
      <c r="FN821" s="9"/>
      <c r="FO821" s="9"/>
      <c r="FP821" s="9"/>
      <c r="FQ821" s="9"/>
      <c r="FR821" s="9"/>
      <c r="FS821" s="9"/>
      <c r="FT821" s="9"/>
      <c r="FU821" s="9"/>
      <c r="FV821" s="9"/>
      <c r="FW821" s="9"/>
      <c r="FX821" s="9"/>
      <c r="FY821" s="9"/>
      <c r="FZ821" s="9"/>
      <c r="GA821" s="9"/>
      <c r="GB821" s="9"/>
      <c r="GC821" s="9"/>
      <c r="GD821" s="9"/>
      <c r="GE821" s="9"/>
      <c r="GF821" s="9"/>
      <c r="GG821" s="9"/>
      <c r="GH821" s="9"/>
      <c r="GI821" s="9"/>
      <c r="GJ821" s="9"/>
      <c r="GK821" s="9"/>
      <c r="GL821" s="9"/>
      <c r="GM821" s="9"/>
      <c r="GN821" s="9"/>
      <c r="GO821" s="9"/>
      <c r="GP821" s="9"/>
      <c r="GQ821" s="9"/>
    </row>
    <row r="822" spans="2:199" ht="15"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  <c r="EC822" s="9"/>
      <c r="ED822" s="9"/>
      <c r="EE822" s="9"/>
      <c r="EF822" s="9"/>
      <c r="EG822" s="9"/>
      <c r="EH822" s="9"/>
      <c r="EI822" s="9"/>
      <c r="EJ822" s="9"/>
      <c r="EK822" s="9"/>
      <c r="EL822" s="9"/>
      <c r="EM822" s="9"/>
      <c r="EN822" s="9"/>
      <c r="EO822" s="9"/>
      <c r="EP822" s="9"/>
      <c r="EQ822" s="9"/>
      <c r="ER822" s="9"/>
      <c r="ES822" s="9"/>
      <c r="ET822" s="9"/>
      <c r="EU822" s="9"/>
      <c r="EV822" s="9"/>
      <c r="EW822" s="9"/>
      <c r="EX822" s="9"/>
      <c r="EY822" s="9"/>
      <c r="EZ822" s="9"/>
      <c r="FA822" s="9"/>
      <c r="FB822" s="9"/>
      <c r="FC822" s="9"/>
      <c r="FD822" s="9"/>
      <c r="FE822" s="9"/>
      <c r="FF822" s="9"/>
      <c r="FG822" s="9"/>
      <c r="FH822" s="9"/>
      <c r="FI822" s="9"/>
      <c r="FJ822" s="9"/>
      <c r="FK822" s="9"/>
      <c r="FL822" s="9"/>
      <c r="FM822" s="9"/>
      <c r="FN822" s="9"/>
      <c r="FO822" s="9"/>
      <c r="FP822" s="9"/>
      <c r="FQ822" s="9"/>
      <c r="FR822" s="9"/>
      <c r="FS822" s="9"/>
      <c r="FT822" s="9"/>
      <c r="FU822" s="9"/>
      <c r="FV822" s="9"/>
      <c r="FW822" s="9"/>
      <c r="FX822" s="9"/>
      <c r="FY822" s="9"/>
      <c r="FZ822" s="9"/>
      <c r="GA822" s="9"/>
      <c r="GB822" s="9"/>
      <c r="GC822" s="9"/>
      <c r="GD822" s="9"/>
      <c r="GE822" s="9"/>
      <c r="GF822" s="9"/>
      <c r="GG822" s="9"/>
      <c r="GH822" s="9"/>
      <c r="GI822" s="9"/>
      <c r="GJ822" s="9"/>
      <c r="GK822" s="9"/>
      <c r="GL822" s="9"/>
      <c r="GM822" s="9"/>
      <c r="GN822" s="9"/>
      <c r="GO822" s="9"/>
      <c r="GP822" s="9"/>
      <c r="GQ822" s="9"/>
    </row>
    <row r="823" spans="2:199" ht="15"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  <c r="EB823" s="9"/>
      <c r="EC823" s="9"/>
      <c r="ED823" s="9"/>
      <c r="EE823" s="9"/>
      <c r="EF823" s="9"/>
      <c r="EG823" s="9"/>
      <c r="EH823" s="9"/>
      <c r="EI823" s="9"/>
      <c r="EJ823" s="9"/>
      <c r="EK823" s="9"/>
      <c r="EL823" s="9"/>
      <c r="EM823" s="9"/>
      <c r="EN823" s="9"/>
      <c r="EO823" s="9"/>
      <c r="EP823" s="9"/>
      <c r="EQ823" s="9"/>
      <c r="ER823" s="9"/>
      <c r="ES823" s="9"/>
      <c r="ET823" s="9"/>
      <c r="EU823" s="9"/>
      <c r="EV823" s="9"/>
      <c r="EW823" s="9"/>
      <c r="EX823" s="9"/>
      <c r="EY823" s="9"/>
      <c r="EZ823" s="9"/>
      <c r="FA823" s="9"/>
      <c r="FB823" s="9"/>
      <c r="FC823" s="9"/>
      <c r="FD823" s="9"/>
      <c r="FE823" s="9"/>
      <c r="FF823" s="9"/>
      <c r="FG823" s="9"/>
      <c r="FH823" s="9"/>
      <c r="FI823" s="9"/>
      <c r="FJ823" s="9"/>
      <c r="FK823" s="9"/>
      <c r="FL823" s="9"/>
      <c r="FM823" s="9"/>
      <c r="FN823" s="9"/>
      <c r="FO823" s="9"/>
      <c r="FP823" s="9"/>
      <c r="FQ823" s="9"/>
      <c r="FR823" s="9"/>
      <c r="FS823" s="9"/>
      <c r="FT823" s="9"/>
      <c r="FU823" s="9"/>
      <c r="FV823" s="9"/>
      <c r="FW823" s="9"/>
      <c r="FX823" s="9"/>
      <c r="FY823" s="9"/>
      <c r="FZ823" s="9"/>
      <c r="GA823" s="9"/>
      <c r="GB823" s="9"/>
      <c r="GC823" s="9"/>
      <c r="GD823" s="9"/>
      <c r="GE823" s="9"/>
      <c r="GF823" s="9"/>
      <c r="GG823" s="9"/>
      <c r="GH823" s="9"/>
      <c r="GI823" s="9"/>
      <c r="GJ823" s="9"/>
      <c r="GK823" s="9"/>
      <c r="GL823" s="9"/>
      <c r="GM823" s="9"/>
      <c r="GN823" s="9"/>
      <c r="GO823" s="9"/>
      <c r="GP823" s="9"/>
      <c r="GQ823" s="9"/>
    </row>
    <row r="824" spans="2:199" ht="15"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  <c r="EC824" s="9"/>
      <c r="ED824" s="9"/>
      <c r="EE824" s="9"/>
      <c r="EF824" s="9"/>
      <c r="EG824" s="9"/>
      <c r="EH824" s="9"/>
      <c r="EI824" s="9"/>
      <c r="EJ824" s="9"/>
      <c r="EK824" s="9"/>
      <c r="EL824" s="9"/>
      <c r="EM824" s="9"/>
      <c r="EN824" s="9"/>
      <c r="EO824" s="9"/>
      <c r="EP824" s="9"/>
      <c r="EQ824" s="9"/>
      <c r="ER824" s="9"/>
      <c r="ES824" s="9"/>
      <c r="ET824" s="9"/>
      <c r="EU824" s="9"/>
      <c r="EV824" s="9"/>
      <c r="EW824" s="9"/>
      <c r="EX824" s="9"/>
      <c r="EY824" s="9"/>
      <c r="EZ824" s="9"/>
      <c r="FA824" s="9"/>
      <c r="FB824" s="9"/>
      <c r="FC824" s="9"/>
      <c r="FD824" s="9"/>
      <c r="FE824" s="9"/>
      <c r="FF824" s="9"/>
      <c r="FG824" s="9"/>
      <c r="FH824" s="9"/>
      <c r="FI824" s="9"/>
      <c r="FJ824" s="9"/>
      <c r="FK824" s="9"/>
      <c r="FL824" s="9"/>
      <c r="FM824" s="9"/>
      <c r="FN824" s="9"/>
      <c r="FO824" s="9"/>
      <c r="FP824" s="9"/>
      <c r="FQ824" s="9"/>
      <c r="FR824" s="9"/>
      <c r="FS824" s="9"/>
      <c r="FT824" s="9"/>
      <c r="FU824" s="9"/>
      <c r="FV824" s="9"/>
      <c r="FW824" s="9"/>
      <c r="FX824" s="9"/>
      <c r="FY824" s="9"/>
      <c r="FZ824" s="9"/>
      <c r="GA824" s="9"/>
      <c r="GB824" s="9"/>
      <c r="GC824" s="9"/>
      <c r="GD824" s="9"/>
      <c r="GE824" s="9"/>
      <c r="GF824" s="9"/>
      <c r="GG824" s="9"/>
      <c r="GH824" s="9"/>
      <c r="GI824" s="9"/>
      <c r="GJ824" s="9"/>
      <c r="GK824" s="9"/>
      <c r="GL824" s="9"/>
      <c r="GM824" s="9"/>
      <c r="GN824" s="9"/>
      <c r="GO824" s="9"/>
      <c r="GP824" s="9"/>
      <c r="GQ824" s="9"/>
    </row>
    <row r="825" spans="2:199" ht="15"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  <c r="DM825" s="9"/>
      <c r="DN825" s="9"/>
      <c r="DO825" s="9"/>
      <c r="DP825" s="9"/>
      <c r="DQ825" s="9"/>
      <c r="DR825" s="9"/>
      <c r="DS825" s="9"/>
      <c r="DT825" s="9"/>
      <c r="DU825" s="9"/>
      <c r="DV825" s="9"/>
      <c r="DW825" s="9"/>
      <c r="DX825" s="9"/>
      <c r="DY825" s="9"/>
      <c r="DZ825" s="9"/>
      <c r="EA825" s="9"/>
      <c r="EB825" s="9"/>
      <c r="EC825" s="9"/>
      <c r="ED825" s="9"/>
      <c r="EE825" s="9"/>
      <c r="EF825" s="9"/>
      <c r="EG825" s="9"/>
      <c r="EH825" s="9"/>
      <c r="EI825" s="9"/>
      <c r="EJ825" s="9"/>
      <c r="EK825" s="9"/>
      <c r="EL825" s="9"/>
      <c r="EM825" s="9"/>
      <c r="EN825" s="9"/>
      <c r="EO825" s="9"/>
      <c r="EP825" s="9"/>
      <c r="EQ825" s="9"/>
      <c r="ER825" s="9"/>
      <c r="ES825" s="9"/>
      <c r="ET825" s="9"/>
      <c r="EU825" s="9"/>
      <c r="EV825" s="9"/>
      <c r="EW825" s="9"/>
      <c r="EX825" s="9"/>
      <c r="EY825" s="9"/>
      <c r="EZ825" s="9"/>
      <c r="FA825" s="9"/>
      <c r="FB825" s="9"/>
      <c r="FC825" s="9"/>
      <c r="FD825" s="9"/>
      <c r="FE825" s="9"/>
      <c r="FF825" s="9"/>
      <c r="FG825" s="9"/>
      <c r="FH825" s="9"/>
      <c r="FI825" s="9"/>
      <c r="FJ825" s="9"/>
      <c r="FK825" s="9"/>
      <c r="FL825" s="9"/>
      <c r="FM825" s="9"/>
      <c r="FN825" s="9"/>
      <c r="FO825" s="9"/>
      <c r="FP825" s="9"/>
      <c r="FQ825" s="9"/>
      <c r="FR825" s="9"/>
      <c r="FS825" s="9"/>
      <c r="FT825" s="9"/>
      <c r="FU825" s="9"/>
      <c r="FV825" s="9"/>
      <c r="FW825" s="9"/>
      <c r="FX825" s="9"/>
      <c r="FY825" s="9"/>
      <c r="FZ825" s="9"/>
      <c r="GA825" s="9"/>
      <c r="GB825" s="9"/>
      <c r="GC825" s="9"/>
      <c r="GD825" s="9"/>
      <c r="GE825" s="9"/>
      <c r="GF825" s="9"/>
      <c r="GG825" s="9"/>
      <c r="GH825" s="9"/>
      <c r="GI825" s="9"/>
      <c r="GJ825" s="9"/>
      <c r="GK825" s="9"/>
      <c r="GL825" s="9"/>
      <c r="GM825" s="9"/>
      <c r="GN825" s="9"/>
      <c r="GO825" s="9"/>
      <c r="GP825" s="9"/>
      <c r="GQ825" s="9"/>
    </row>
    <row r="826" spans="2:199" ht="15"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  <c r="DM826" s="9"/>
      <c r="DN826" s="9"/>
      <c r="DO826" s="9"/>
      <c r="DP826" s="9"/>
      <c r="DQ826" s="9"/>
      <c r="DR826" s="9"/>
      <c r="DS826" s="9"/>
      <c r="DT826" s="9"/>
      <c r="DU826" s="9"/>
      <c r="DV826" s="9"/>
      <c r="DW826" s="9"/>
      <c r="DX826" s="9"/>
      <c r="DY826" s="9"/>
      <c r="DZ826" s="9"/>
      <c r="EA826" s="9"/>
      <c r="EB826" s="9"/>
      <c r="EC826" s="9"/>
      <c r="ED826" s="9"/>
      <c r="EE826" s="9"/>
      <c r="EF826" s="9"/>
      <c r="EG826" s="9"/>
      <c r="EH826" s="9"/>
      <c r="EI826" s="9"/>
      <c r="EJ826" s="9"/>
      <c r="EK826" s="9"/>
      <c r="EL826" s="9"/>
      <c r="EM826" s="9"/>
      <c r="EN826" s="9"/>
      <c r="EO826" s="9"/>
      <c r="EP826" s="9"/>
      <c r="EQ826" s="9"/>
      <c r="ER826" s="9"/>
      <c r="ES826" s="9"/>
      <c r="ET826" s="9"/>
      <c r="EU826" s="9"/>
      <c r="EV826" s="9"/>
      <c r="EW826" s="9"/>
      <c r="EX826" s="9"/>
      <c r="EY826" s="9"/>
      <c r="EZ826" s="9"/>
      <c r="FA826" s="9"/>
      <c r="FB826" s="9"/>
      <c r="FC826" s="9"/>
      <c r="FD826" s="9"/>
      <c r="FE826" s="9"/>
      <c r="FF826" s="9"/>
      <c r="FG826" s="9"/>
      <c r="FH826" s="9"/>
      <c r="FI826" s="9"/>
      <c r="FJ826" s="9"/>
      <c r="FK826" s="9"/>
      <c r="FL826" s="9"/>
      <c r="FM826" s="9"/>
      <c r="FN826" s="9"/>
      <c r="FO826" s="9"/>
      <c r="FP826" s="9"/>
      <c r="FQ826" s="9"/>
      <c r="FR826" s="9"/>
      <c r="FS826" s="9"/>
      <c r="FT826" s="9"/>
      <c r="FU826" s="9"/>
      <c r="FV826" s="9"/>
      <c r="FW826" s="9"/>
      <c r="FX826" s="9"/>
      <c r="FY826" s="9"/>
      <c r="FZ826" s="9"/>
      <c r="GA826" s="9"/>
      <c r="GB826" s="9"/>
      <c r="GC826" s="9"/>
      <c r="GD826" s="9"/>
      <c r="GE826" s="9"/>
      <c r="GF826" s="9"/>
      <c r="GG826" s="9"/>
      <c r="GH826" s="9"/>
      <c r="GI826" s="9"/>
      <c r="GJ826" s="9"/>
      <c r="GK826" s="9"/>
      <c r="GL826" s="9"/>
      <c r="GM826" s="9"/>
      <c r="GN826" s="9"/>
      <c r="GO826" s="9"/>
      <c r="GP826" s="9"/>
      <c r="GQ826" s="9"/>
    </row>
  </sheetData>
  <mergeCells count="16">
    <mergeCell ref="C1:L2"/>
    <mergeCell ref="E3:G4"/>
    <mergeCell ref="H3:I4"/>
    <mergeCell ref="J3:O3"/>
    <mergeCell ref="J4:K5"/>
    <mergeCell ref="L4:M5"/>
    <mergeCell ref="N4:O5"/>
    <mergeCell ref="E5:E6"/>
    <mergeCell ref="F5:F6"/>
    <mergeCell ref="G5:G6"/>
    <mergeCell ref="H5:H6"/>
    <mergeCell ref="I5:I6"/>
    <mergeCell ref="A3:A6"/>
    <mergeCell ref="B3:B6"/>
    <mergeCell ref="C3:C6"/>
    <mergeCell ref="D3:D6"/>
  </mergeCells>
  <printOptions horizontalCentered="1"/>
  <pageMargins left="1.0236220472440944" right="0.2755905511811024" top="0.4724409448818898" bottom="0.1968503937007874" header="0.15748031496062992" footer="0.2362204724409449"/>
  <pageSetup horizontalDpi="600" verticalDpi="600" orientation="landscape" paperSize="9" scale="81" r:id="rId1"/>
  <rowBreaks count="1" manualBreakCount="1">
    <brk id="4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8"/>
  <sheetViews>
    <sheetView view="pageBreakPreview" zoomScaleSheetLayoutView="10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1" sqref="E11"/>
    </sheetView>
  </sheetViews>
  <sheetFormatPr defaultColWidth="9.00390625" defaultRowHeight="12.75"/>
  <cols>
    <col min="1" max="1" width="11.25390625" style="1" customWidth="1"/>
    <col min="2" max="2" width="13.25390625" style="1" customWidth="1"/>
    <col min="3" max="3" width="12.125" style="1" customWidth="1"/>
    <col min="4" max="4" width="13.00390625" style="1" customWidth="1"/>
    <col min="5" max="5" width="11.75390625" style="1" customWidth="1"/>
    <col min="6" max="6" width="12.375" style="1" customWidth="1"/>
    <col min="7" max="7" width="13.875" style="1" customWidth="1"/>
    <col min="8" max="9" width="9.75390625" style="1" customWidth="1"/>
    <col min="10" max="10" width="12.125" style="1" customWidth="1"/>
    <col min="11" max="11" width="11.25390625" style="1" customWidth="1"/>
    <col min="12" max="12" width="11.375" style="1" customWidth="1"/>
    <col min="13" max="13" width="10.75390625" style="1" customWidth="1"/>
    <col min="14" max="15" width="9.75390625" style="1" customWidth="1"/>
    <col min="16" max="16384" width="9.125" style="1" customWidth="1"/>
  </cols>
  <sheetData>
    <row r="1" spans="3:12" ht="15">
      <c r="C1" s="91" t="s">
        <v>104</v>
      </c>
      <c r="D1" s="91"/>
      <c r="E1" s="91"/>
      <c r="F1" s="91"/>
      <c r="G1" s="91"/>
      <c r="H1" s="91"/>
      <c r="I1" s="91"/>
      <c r="J1" s="91"/>
      <c r="K1" s="91"/>
      <c r="L1" s="91"/>
    </row>
    <row r="2" spans="3:15" ht="10.5" customHeight="1" thickBot="1">
      <c r="C2" s="92"/>
      <c r="D2" s="92"/>
      <c r="E2" s="92"/>
      <c r="F2" s="92"/>
      <c r="G2" s="92"/>
      <c r="H2" s="92"/>
      <c r="I2" s="92"/>
      <c r="J2" s="92"/>
      <c r="K2" s="92"/>
      <c r="L2" s="92"/>
      <c r="O2" s="1" t="s">
        <v>43</v>
      </c>
    </row>
    <row r="3" spans="1:15" ht="33.75" customHeight="1">
      <c r="A3" s="100" t="s">
        <v>34</v>
      </c>
      <c r="B3" s="102" t="s">
        <v>105</v>
      </c>
      <c r="C3" s="102" t="s">
        <v>106</v>
      </c>
      <c r="D3" s="102" t="s">
        <v>112</v>
      </c>
      <c r="E3" s="102" t="s">
        <v>35</v>
      </c>
      <c r="F3" s="102"/>
      <c r="G3" s="102"/>
      <c r="H3" s="96" t="s">
        <v>113</v>
      </c>
      <c r="I3" s="99"/>
      <c r="J3" s="96" t="s">
        <v>35</v>
      </c>
      <c r="K3" s="97"/>
      <c r="L3" s="97"/>
      <c r="M3" s="97"/>
      <c r="N3" s="97"/>
      <c r="O3" s="98"/>
    </row>
    <row r="4" spans="1:15" ht="31.5" customHeight="1">
      <c r="A4" s="101"/>
      <c r="B4" s="93"/>
      <c r="C4" s="93"/>
      <c r="D4" s="93"/>
      <c r="E4" s="93" t="s">
        <v>107</v>
      </c>
      <c r="F4" s="93" t="s">
        <v>108</v>
      </c>
      <c r="G4" s="93" t="s">
        <v>110</v>
      </c>
      <c r="H4" s="93" t="s">
        <v>53</v>
      </c>
      <c r="I4" s="93" t="s">
        <v>54</v>
      </c>
      <c r="J4" s="105" t="s">
        <v>107</v>
      </c>
      <c r="K4" s="107"/>
      <c r="L4" s="108" t="s">
        <v>108</v>
      </c>
      <c r="M4" s="108"/>
      <c r="N4" s="105" t="s">
        <v>110</v>
      </c>
      <c r="O4" s="106"/>
    </row>
    <row r="5" spans="1:15" ht="33" customHeight="1">
      <c r="A5" s="101"/>
      <c r="B5" s="93"/>
      <c r="C5" s="93"/>
      <c r="D5" s="93"/>
      <c r="E5" s="93"/>
      <c r="F5" s="93"/>
      <c r="G5" s="93"/>
      <c r="H5" s="93"/>
      <c r="I5" s="93"/>
      <c r="J5" s="2" t="s">
        <v>53</v>
      </c>
      <c r="K5" s="2" t="s">
        <v>55</v>
      </c>
      <c r="L5" s="2" t="s">
        <v>53</v>
      </c>
      <c r="M5" s="2" t="s">
        <v>55</v>
      </c>
      <c r="N5" s="2" t="s">
        <v>53</v>
      </c>
      <c r="O5" s="3" t="s">
        <v>55</v>
      </c>
    </row>
    <row r="6" spans="1:25" ht="15">
      <c r="A6" s="56" t="s">
        <v>56</v>
      </c>
      <c r="B6" s="5">
        <v>143</v>
      </c>
      <c r="C6" s="5">
        <v>6</v>
      </c>
      <c r="D6" s="78">
        <v>780968</v>
      </c>
      <c r="E6" s="78">
        <v>229258</v>
      </c>
      <c r="F6" s="5">
        <v>22092</v>
      </c>
      <c r="G6" s="5">
        <v>521447</v>
      </c>
      <c r="H6" s="5">
        <f aca="true" t="shared" si="0" ref="H6:H44">D6/B6</f>
        <v>5461.314685314685</v>
      </c>
      <c r="I6" s="5">
        <f aca="true" t="shared" si="1" ref="I6:I44">D6/C6</f>
        <v>130161.33333333333</v>
      </c>
      <c r="J6" s="5">
        <f aca="true" t="shared" si="2" ref="J6:J44">E6/B6</f>
        <v>1603.2027972027972</v>
      </c>
      <c r="K6" s="5">
        <f aca="true" t="shared" si="3" ref="K6:K44">E6/C6</f>
        <v>38209.666666666664</v>
      </c>
      <c r="L6" s="5">
        <f aca="true" t="shared" si="4" ref="L6:L44">F6/B6</f>
        <v>154.48951048951048</v>
      </c>
      <c r="M6" s="5">
        <f aca="true" t="shared" si="5" ref="M6:M44">F6/C6</f>
        <v>3682</v>
      </c>
      <c r="N6" s="5">
        <f aca="true" t="shared" si="6" ref="N6:N44">G6/B6</f>
        <v>3646.4825174825173</v>
      </c>
      <c r="O6" s="6">
        <f aca="true" t="shared" si="7" ref="O6:O44">G6/C6</f>
        <v>86907.83333333333</v>
      </c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5">
      <c r="A7" s="56" t="s">
        <v>57</v>
      </c>
      <c r="B7" s="5">
        <v>266</v>
      </c>
      <c r="C7" s="5">
        <v>10</v>
      </c>
      <c r="D7" s="5">
        <v>1133931</v>
      </c>
      <c r="E7" s="5">
        <v>316709</v>
      </c>
      <c r="F7" s="5">
        <v>37261</v>
      </c>
      <c r="G7" s="5">
        <v>767547</v>
      </c>
      <c r="H7" s="5">
        <f t="shared" si="0"/>
        <v>4262.898496240601</v>
      </c>
      <c r="I7" s="5">
        <f t="shared" si="1"/>
        <v>113393.1</v>
      </c>
      <c r="J7" s="5">
        <f t="shared" si="2"/>
        <v>1190.6353383458647</v>
      </c>
      <c r="K7" s="5">
        <f t="shared" si="3"/>
        <v>31670.9</v>
      </c>
      <c r="L7" s="5">
        <f t="shared" si="4"/>
        <v>140.07894736842104</v>
      </c>
      <c r="M7" s="5">
        <f t="shared" si="5"/>
        <v>3726.1</v>
      </c>
      <c r="N7" s="5">
        <f t="shared" si="6"/>
        <v>2885.5150375939847</v>
      </c>
      <c r="O7" s="6">
        <f t="shared" si="7"/>
        <v>76754.7</v>
      </c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5">
      <c r="A8" s="56" t="s">
        <v>58</v>
      </c>
      <c r="B8" s="5">
        <v>112</v>
      </c>
      <c r="C8" s="5">
        <v>5</v>
      </c>
      <c r="D8" s="5">
        <v>704370</v>
      </c>
      <c r="E8" s="5">
        <v>216919</v>
      </c>
      <c r="F8" s="5">
        <v>26875</v>
      </c>
      <c r="G8" s="5">
        <v>468162</v>
      </c>
      <c r="H8" s="5">
        <f t="shared" si="0"/>
        <v>6289.017857142857</v>
      </c>
      <c r="I8" s="5">
        <f t="shared" si="1"/>
        <v>140874</v>
      </c>
      <c r="J8" s="5">
        <f t="shared" si="2"/>
        <v>1936.7767857142858</v>
      </c>
      <c r="K8" s="5">
        <f t="shared" si="3"/>
        <v>43383.8</v>
      </c>
      <c r="L8" s="5">
        <f t="shared" si="4"/>
        <v>239.95535714285714</v>
      </c>
      <c r="M8" s="5">
        <f t="shared" si="5"/>
        <v>5375</v>
      </c>
      <c r="N8" s="5">
        <f t="shared" si="6"/>
        <v>4180.017857142857</v>
      </c>
      <c r="O8" s="6">
        <f t="shared" si="7"/>
        <v>93632.4</v>
      </c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">
      <c r="A9" s="56" t="s">
        <v>59</v>
      </c>
      <c r="B9" s="5">
        <v>186</v>
      </c>
      <c r="C9" s="5">
        <v>7</v>
      </c>
      <c r="D9" s="5">
        <v>1004027</v>
      </c>
      <c r="E9" s="5">
        <v>193585</v>
      </c>
      <c r="F9" s="5">
        <v>37952</v>
      </c>
      <c r="G9" s="5">
        <v>766874</v>
      </c>
      <c r="H9" s="5">
        <f t="shared" si="0"/>
        <v>5397.9946236559135</v>
      </c>
      <c r="I9" s="5">
        <f t="shared" si="1"/>
        <v>143432.42857142858</v>
      </c>
      <c r="J9" s="5">
        <f t="shared" si="2"/>
        <v>1040.779569892473</v>
      </c>
      <c r="K9" s="5">
        <f t="shared" si="3"/>
        <v>27655</v>
      </c>
      <c r="L9" s="5">
        <f t="shared" si="4"/>
        <v>204.04301075268816</v>
      </c>
      <c r="M9" s="5">
        <f t="shared" si="5"/>
        <v>5421.714285714285</v>
      </c>
      <c r="N9" s="5">
        <f t="shared" si="6"/>
        <v>4122.978494623656</v>
      </c>
      <c r="O9" s="6">
        <f t="shared" si="7"/>
        <v>109553.42857142857</v>
      </c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5">
      <c r="A10" s="56" t="s">
        <v>94</v>
      </c>
      <c r="B10" s="5">
        <v>142</v>
      </c>
      <c r="C10" s="5">
        <v>6</v>
      </c>
      <c r="D10" s="5">
        <v>785149</v>
      </c>
      <c r="E10" s="5">
        <v>243534</v>
      </c>
      <c r="F10" s="5">
        <f>36569-1526</f>
        <v>35043</v>
      </c>
      <c r="G10" s="5">
        <v>500412</v>
      </c>
      <c r="H10" s="5">
        <f t="shared" si="0"/>
        <v>5529.218309859155</v>
      </c>
      <c r="I10" s="5">
        <f t="shared" si="1"/>
        <v>130858.16666666667</v>
      </c>
      <c r="J10" s="5">
        <f t="shared" si="2"/>
        <v>1715.0281690140846</v>
      </c>
      <c r="K10" s="5">
        <f t="shared" si="3"/>
        <v>40589</v>
      </c>
      <c r="L10" s="5">
        <f t="shared" si="4"/>
        <v>246.78169014084506</v>
      </c>
      <c r="M10" s="5">
        <f t="shared" si="5"/>
        <v>5840.5</v>
      </c>
      <c r="N10" s="5">
        <f t="shared" si="6"/>
        <v>3524.0281690140846</v>
      </c>
      <c r="O10" s="6">
        <f t="shared" si="7"/>
        <v>83402</v>
      </c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5">
      <c r="A11" s="56" t="s">
        <v>60</v>
      </c>
      <c r="B11" s="5">
        <v>117</v>
      </c>
      <c r="C11" s="5">
        <v>5</v>
      </c>
      <c r="D11" s="5">
        <v>680561</v>
      </c>
      <c r="E11" s="5">
        <v>148248</v>
      </c>
      <c r="F11" s="5">
        <v>21569</v>
      </c>
      <c r="G11" s="5">
        <v>512901</v>
      </c>
      <c r="H11" s="5">
        <f t="shared" si="0"/>
        <v>5816.760683760684</v>
      </c>
      <c r="I11" s="5">
        <f t="shared" si="1"/>
        <v>136112.2</v>
      </c>
      <c r="J11" s="5">
        <f t="shared" si="2"/>
        <v>1267.076923076923</v>
      </c>
      <c r="K11" s="5">
        <f t="shared" si="3"/>
        <v>29649.6</v>
      </c>
      <c r="L11" s="5">
        <f t="shared" si="4"/>
        <v>184.35042735042734</v>
      </c>
      <c r="M11" s="5">
        <f t="shared" si="5"/>
        <v>4313.8</v>
      </c>
      <c r="N11" s="5">
        <f t="shared" si="6"/>
        <v>4383.7692307692305</v>
      </c>
      <c r="O11" s="6">
        <f t="shared" si="7"/>
        <v>102580.2</v>
      </c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5">
      <c r="A12" s="56" t="s">
        <v>61</v>
      </c>
      <c r="B12" s="5">
        <v>69</v>
      </c>
      <c r="C12" s="5">
        <v>3</v>
      </c>
      <c r="D12" s="5">
        <v>362969</v>
      </c>
      <c r="E12" s="5">
        <v>59012</v>
      </c>
      <c r="F12" s="5">
        <v>20934</v>
      </c>
      <c r="G12" s="5">
        <v>291088</v>
      </c>
      <c r="H12" s="5">
        <f t="shared" si="0"/>
        <v>5260.420289855072</v>
      </c>
      <c r="I12" s="5">
        <f t="shared" si="1"/>
        <v>120989.66666666667</v>
      </c>
      <c r="J12" s="5">
        <f t="shared" si="2"/>
        <v>855.2463768115942</v>
      </c>
      <c r="K12" s="5">
        <f t="shared" si="3"/>
        <v>19670.666666666668</v>
      </c>
      <c r="L12" s="5">
        <f t="shared" si="4"/>
        <v>303.39130434782606</v>
      </c>
      <c r="M12" s="5">
        <f t="shared" si="5"/>
        <v>6978</v>
      </c>
      <c r="N12" s="5">
        <f t="shared" si="6"/>
        <v>4218.666666666667</v>
      </c>
      <c r="O12" s="6">
        <f t="shared" si="7"/>
        <v>97029.33333333333</v>
      </c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5">
      <c r="A13" s="56" t="s">
        <v>62</v>
      </c>
      <c r="B13" s="5">
        <v>96</v>
      </c>
      <c r="C13" s="5">
        <v>7</v>
      </c>
      <c r="D13" s="5">
        <v>1040438</v>
      </c>
      <c r="E13" s="5">
        <v>212343</v>
      </c>
      <c r="F13" s="5">
        <v>27815</v>
      </c>
      <c r="G13" s="5">
        <v>795716</v>
      </c>
      <c r="H13" s="5">
        <f t="shared" si="0"/>
        <v>10837.895833333334</v>
      </c>
      <c r="I13" s="5">
        <f t="shared" si="1"/>
        <v>148634</v>
      </c>
      <c r="J13" s="5">
        <f t="shared" si="2"/>
        <v>2211.90625</v>
      </c>
      <c r="K13" s="5">
        <f t="shared" si="3"/>
        <v>30334.714285714286</v>
      </c>
      <c r="L13" s="5">
        <f t="shared" si="4"/>
        <v>289.7395833333333</v>
      </c>
      <c r="M13" s="5">
        <f t="shared" si="5"/>
        <v>3973.5714285714284</v>
      </c>
      <c r="N13" s="5">
        <f t="shared" si="6"/>
        <v>8288.708333333334</v>
      </c>
      <c r="O13" s="6">
        <f t="shared" si="7"/>
        <v>113673.71428571429</v>
      </c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5">
      <c r="A14" s="56" t="s">
        <v>63</v>
      </c>
      <c r="B14" s="5">
        <v>207</v>
      </c>
      <c r="C14" s="5">
        <v>8</v>
      </c>
      <c r="D14" s="5">
        <v>959558</v>
      </c>
      <c r="E14" s="5">
        <v>256746</v>
      </c>
      <c r="F14" s="5">
        <v>250964</v>
      </c>
      <c r="G14" s="5">
        <v>673102</v>
      </c>
      <c r="H14" s="5">
        <f t="shared" si="0"/>
        <v>4635.545893719806</v>
      </c>
      <c r="I14" s="5">
        <f t="shared" si="1"/>
        <v>119944.75</v>
      </c>
      <c r="J14" s="5">
        <f t="shared" si="2"/>
        <v>1240.3188405797102</v>
      </c>
      <c r="K14" s="5">
        <f t="shared" si="3"/>
        <v>32093.25</v>
      </c>
      <c r="L14" s="5">
        <f t="shared" si="4"/>
        <v>1212.3864734299516</v>
      </c>
      <c r="M14" s="5">
        <f t="shared" si="5"/>
        <v>31370.5</v>
      </c>
      <c r="N14" s="5">
        <f t="shared" si="6"/>
        <v>3251.7004830917876</v>
      </c>
      <c r="O14" s="6">
        <f t="shared" si="7"/>
        <v>84137.75</v>
      </c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5">
      <c r="A15" s="56" t="s">
        <v>64</v>
      </c>
      <c r="B15" s="5">
        <v>309</v>
      </c>
      <c r="C15" s="5">
        <v>12</v>
      </c>
      <c r="D15" s="5">
        <v>1574262</v>
      </c>
      <c r="E15" s="5">
        <v>406676</v>
      </c>
      <c r="F15" s="5">
        <v>49418</v>
      </c>
      <c r="G15" s="5">
        <v>1087226</v>
      </c>
      <c r="H15" s="5">
        <f t="shared" si="0"/>
        <v>5094.699029126214</v>
      </c>
      <c r="I15" s="5">
        <f t="shared" si="1"/>
        <v>131188.5</v>
      </c>
      <c r="J15" s="5">
        <f t="shared" si="2"/>
        <v>1316.1035598705503</v>
      </c>
      <c r="K15" s="5">
        <f t="shared" si="3"/>
        <v>33889.666666666664</v>
      </c>
      <c r="L15" s="5">
        <f t="shared" si="4"/>
        <v>159.92880258899677</v>
      </c>
      <c r="M15" s="5">
        <f t="shared" si="5"/>
        <v>4118.166666666667</v>
      </c>
      <c r="N15" s="5">
        <f t="shared" si="6"/>
        <v>3518.5307443365696</v>
      </c>
      <c r="O15" s="6">
        <f t="shared" si="7"/>
        <v>90602.16666666667</v>
      </c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5">
      <c r="A16" s="56" t="s">
        <v>65</v>
      </c>
      <c r="B16" s="5">
        <v>382</v>
      </c>
      <c r="C16" s="5">
        <v>13</v>
      </c>
      <c r="D16" s="5">
        <v>1503471</v>
      </c>
      <c r="E16" s="5">
        <v>314176</v>
      </c>
      <c r="F16" s="5">
        <v>53834</v>
      </c>
      <c r="G16" s="5">
        <v>1155078</v>
      </c>
      <c r="H16" s="5">
        <f t="shared" si="0"/>
        <v>3935.7879581151833</v>
      </c>
      <c r="I16" s="5">
        <f t="shared" si="1"/>
        <v>115651.61538461539</v>
      </c>
      <c r="J16" s="5">
        <f t="shared" si="2"/>
        <v>822.4502617801047</v>
      </c>
      <c r="K16" s="5">
        <f t="shared" si="3"/>
        <v>24167.384615384617</v>
      </c>
      <c r="L16" s="5">
        <f t="shared" si="4"/>
        <v>140.92670157068062</v>
      </c>
      <c r="M16" s="5">
        <f t="shared" si="5"/>
        <v>4141.076923076923</v>
      </c>
      <c r="N16" s="5">
        <f t="shared" si="6"/>
        <v>3023.7643979057593</v>
      </c>
      <c r="O16" s="6">
        <f t="shared" si="7"/>
        <v>88852.15384615384</v>
      </c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5">
      <c r="A17" s="56" t="s">
        <v>66</v>
      </c>
      <c r="B17" s="5">
        <v>94</v>
      </c>
      <c r="C17" s="5">
        <v>4</v>
      </c>
      <c r="D17" s="5">
        <v>531438</v>
      </c>
      <c r="E17" s="5">
        <v>116884</v>
      </c>
      <c r="F17" s="5">
        <v>34063</v>
      </c>
      <c r="G17" s="5">
        <v>400530</v>
      </c>
      <c r="H17" s="5">
        <f t="shared" si="0"/>
        <v>5653.595744680851</v>
      </c>
      <c r="I17" s="5">
        <f t="shared" si="1"/>
        <v>132859.5</v>
      </c>
      <c r="J17" s="5">
        <f t="shared" si="2"/>
        <v>1243.4468085106382</v>
      </c>
      <c r="K17" s="5">
        <f t="shared" si="3"/>
        <v>29221</v>
      </c>
      <c r="L17" s="5">
        <f t="shared" si="4"/>
        <v>362.3723404255319</v>
      </c>
      <c r="M17" s="5">
        <f t="shared" si="5"/>
        <v>8515.75</v>
      </c>
      <c r="N17" s="5">
        <f t="shared" si="6"/>
        <v>4260.95744680851</v>
      </c>
      <c r="O17" s="6">
        <f t="shared" si="7"/>
        <v>100132.5</v>
      </c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5">
      <c r="A18" s="56" t="s">
        <v>67</v>
      </c>
      <c r="B18" s="5">
        <v>158</v>
      </c>
      <c r="C18" s="5">
        <v>7</v>
      </c>
      <c r="D18" s="5">
        <v>1051199</v>
      </c>
      <c r="E18" s="5">
        <v>156059</v>
      </c>
      <c r="F18" s="5">
        <v>29630</v>
      </c>
      <c r="G18" s="5">
        <v>864926</v>
      </c>
      <c r="H18" s="5">
        <f t="shared" si="0"/>
        <v>6653.158227848101</v>
      </c>
      <c r="I18" s="5">
        <f t="shared" si="1"/>
        <v>150171.2857142857</v>
      </c>
      <c r="J18" s="5">
        <f t="shared" si="2"/>
        <v>987.7151898734177</v>
      </c>
      <c r="K18" s="5">
        <f t="shared" si="3"/>
        <v>22294.14285714286</v>
      </c>
      <c r="L18" s="5">
        <f t="shared" si="4"/>
        <v>187.53164556962025</v>
      </c>
      <c r="M18" s="5">
        <f t="shared" si="5"/>
        <v>4232.857142857143</v>
      </c>
      <c r="N18" s="5">
        <f t="shared" si="6"/>
        <v>5474.215189873417</v>
      </c>
      <c r="O18" s="6">
        <f t="shared" si="7"/>
        <v>123560.85714285714</v>
      </c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5">
      <c r="A19" s="56" t="s">
        <v>68</v>
      </c>
      <c r="B19" s="5">
        <v>190</v>
      </c>
      <c r="C19" s="5">
        <v>7</v>
      </c>
      <c r="D19" s="5">
        <v>896713</v>
      </c>
      <c r="E19" s="5">
        <v>173447</v>
      </c>
      <c r="F19" s="5">
        <v>29654</v>
      </c>
      <c r="G19" s="5">
        <v>672462</v>
      </c>
      <c r="H19" s="5">
        <f t="shared" si="0"/>
        <v>4719.542105263158</v>
      </c>
      <c r="I19" s="5">
        <f t="shared" si="1"/>
        <v>128101.85714285714</v>
      </c>
      <c r="J19" s="5">
        <f t="shared" si="2"/>
        <v>912.8789473684211</v>
      </c>
      <c r="K19" s="5">
        <f t="shared" si="3"/>
        <v>24778.14285714286</v>
      </c>
      <c r="L19" s="5">
        <f t="shared" si="4"/>
        <v>156.07368421052632</v>
      </c>
      <c r="M19" s="5">
        <f t="shared" si="5"/>
        <v>4236.285714285715</v>
      </c>
      <c r="N19" s="5">
        <f t="shared" si="6"/>
        <v>3539.2736842105264</v>
      </c>
      <c r="O19" s="6">
        <f t="shared" si="7"/>
        <v>96066</v>
      </c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5">
      <c r="A20" s="56" t="s">
        <v>69</v>
      </c>
      <c r="B20" s="5">
        <v>171</v>
      </c>
      <c r="C20" s="5">
        <v>6</v>
      </c>
      <c r="D20" s="5">
        <v>789035</v>
      </c>
      <c r="E20" s="5">
        <v>179124</v>
      </c>
      <c r="F20" s="5">
        <v>32824</v>
      </c>
      <c r="G20" s="5">
        <v>595731</v>
      </c>
      <c r="H20" s="5">
        <f t="shared" si="0"/>
        <v>4614.2397660818715</v>
      </c>
      <c r="I20" s="5">
        <f t="shared" si="1"/>
        <v>131505.83333333334</v>
      </c>
      <c r="J20" s="5">
        <f t="shared" si="2"/>
        <v>1047.5087719298247</v>
      </c>
      <c r="K20" s="5">
        <f t="shared" si="3"/>
        <v>29854</v>
      </c>
      <c r="L20" s="5">
        <f t="shared" si="4"/>
        <v>191.953216374269</v>
      </c>
      <c r="M20" s="5">
        <f t="shared" si="5"/>
        <v>5470.666666666667</v>
      </c>
      <c r="N20" s="5">
        <f t="shared" si="6"/>
        <v>3483.8070175438597</v>
      </c>
      <c r="O20" s="6">
        <f t="shared" si="7"/>
        <v>99288.5</v>
      </c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5">
      <c r="A21" s="56" t="s">
        <v>90</v>
      </c>
      <c r="B21" s="5">
        <v>258</v>
      </c>
      <c r="C21" s="5">
        <v>11</v>
      </c>
      <c r="D21" s="5">
        <v>1165971</v>
      </c>
      <c r="E21" s="5">
        <v>225301</v>
      </c>
      <c r="F21" s="5">
        <v>45129</v>
      </c>
      <c r="G21" s="5">
        <v>873935</v>
      </c>
      <c r="H21" s="5">
        <f t="shared" si="0"/>
        <v>4519.267441860465</v>
      </c>
      <c r="I21" s="5">
        <f t="shared" si="1"/>
        <v>105997.36363636363</v>
      </c>
      <c r="J21" s="5">
        <f t="shared" si="2"/>
        <v>873.2596899224807</v>
      </c>
      <c r="K21" s="5">
        <f t="shared" si="3"/>
        <v>20481.909090909092</v>
      </c>
      <c r="L21" s="5">
        <f t="shared" si="4"/>
        <v>174.91860465116278</v>
      </c>
      <c r="M21" s="5">
        <f t="shared" si="5"/>
        <v>4102.636363636364</v>
      </c>
      <c r="N21" s="5">
        <f t="shared" si="6"/>
        <v>3387.34496124031</v>
      </c>
      <c r="O21" s="6">
        <f t="shared" si="7"/>
        <v>79448.63636363637</v>
      </c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5">
      <c r="A22" s="56" t="s">
        <v>70</v>
      </c>
      <c r="B22" s="5">
        <v>225</v>
      </c>
      <c r="C22" s="5">
        <v>9</v>
      </c>
      <c r="D22" s="5">
        <v>1254317</v>
      </c>
      <c r="E22" s="5">
        <v>304799</v>
      </c>
      <c r="F22" s="5">
        <v>54493</v>
      </c>
      <c r="G22" s="5">
        <v>899293</v>
      </c>
      <c r="H22" s="5">
        <f t="shared" si="0"/>
        <v>5574.742222222222</v>
      </c>
      <c r="I22" s="5">
        <f t="shared" si="1"/>
        <v>139368.55555555556</v>
      </c>
      <c r="J22" s="5">
        <f t="shared" si="2"/>
        <v>1354.6622222222222</v>
      </c>
      <c r="K22" s="5">
        <f t="shared" si="3"/>
        <v>33866.555555555555</v>
      </c>
      <c r="L22" s="5">
        <f t="shared" si="4"/>
        <v>242.1911111111111</v>
      </c>
      <c r="M22" s="5">
        <f t="shared" si="5"/>
        <v>6054.777777777777</v>
      </c>
      <c r="N22" s="5">
        <f t="shared" si="6"/>
        <v>3996.8577777777778</v>
      </c>
      <c r="O22" s="6">
        <f t="shared" si="7"/>
        <v>99921.44444444444</v>
      </c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5">
      <c r="A23" s="56" t="s">
        <v>71</v>
      </c>
      <c r="B23" s="5">
        <v>163</v>
      </c>
      <c r="C23" s="5">
        <v>8</v>
      </c>
      <c r="D23" s="5">
        <v>1390277</v>
      </c>
      <c r="E23" s="5">
        <v>193111</v>
      </c>
      <c r="F23" s="5">
        <v>33599</v>
      </c>
      <c r="G23" s="5">
        <v>1148471</v>
      </c>
      <c r="H23" s="5">
        <f t="shared" si="0"/>
        <v>8529.306748466257</v>
      </c>
      <c r="I23" s="5">
        <f t="shared" si="1"/>
        <v>173784.625</v>
      </c>
      <c r="J23" s="5">
        <f t="shared" si="2"/>
        <v>1184.7300613496932</v>
      </c>
      <c r="K23" s="5">
        <f t="shared" si="3"/>
        <v>24138.875</v>
      </c>
      <c r="L23" s="5">
        <f t="shared" si="4"/>
        <v>206.12883435582822</v>
      </c>
      <c r="M23" s="5">
        <f t="shared" si="5"/>
        <v>4199.875</v>
      </c>
      <c r="N23" s="5">
        <f t="shared" si="6"/>
        <v>7045.834355828221</v>
      </c>
      <c r="O23" s="6">
        <f t="shared" si="7"/>
        <v>143558.875</v>
      </c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5">
      <c r="A24" s="56" t="s">
        <v>72</v>
      </c>
      <c r="B24" s="5">
        <v>295</v>
      </c>
      <c r="C24" s="5">
        <v>12</v>
      </c>
      <c r="D24" s="5">
        <v>1468959</v>
      </c>
      <c r="E24" s="5">
        <v>269363</v>
      </c>
      <c r="F24" s="5">
        <v>34143</v>
      </c>
      <c r="G24" s="5">
        <v>1123462</v>
      </c>
      <c r="H24" s="5">
        <f t="shared" si="0"/>
        <v>4979.522033898305</v>
      </c>
      <c r="I24" s="5">
        <f t="shared" si="1"/>
        <v>122413.25</v>
      </c>
      <c r="J24" s="5">
        <f t="shared" si="2"/>
        <v>913.0949152542373</v>
      </c>
      <c r="K24" s="5">
        <f t="shared" si="3"/>
        <v>22446.916666666668</v>
      </c>
      <c r="L24" s="5">
        <f t="shared" si="4"/>
        <v>115.73898305084745</v>
      </c>
      <c r="M24" s="5">
        <f t="shared" si="5"/>
        <v>2845.25</v>
      </c>
      <c r="N24" s="5">
        <f t="shared" si="6"/>
        <v>3808.3457627118646</v>
      </c>
      <c r="O24" s="6">
        <f t="shared" si="7"/>
        <v>93621.83333333333</v>
      </c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5">
      <c r="A25" s="56" t="s">
        <v>91</v>
      </c>
      <c r="B25" s="5">
        <v>225</v>
      </c>
      <c r="C25" s="5">
        <v>11</v>
      </c>
      <c r="D25" s="5">
        <v>1151965</v>
      </c>
      <c r="E25" s="5">
        <v>256607</v>
      </c>
      <c r="F25" s="5">
        <v>32043</v>
      </c>
      <c r="G25" s="5">
        <v>851211</v>
      </c>
      <c r="H25" s="5">
        <f t="shared" si="0"/>
        <v>5119.844444444445</v>
      </c>
      <c r="I25" s="5">
        <f t="shared" si="1"/>
        <v>104724.09090909091</v>
      </c>
      <c r="J25" s="5">
        <f t="shared" si="2"/>
        <v>1140.4755555555555</v>
      </c>
      <c r="K25" s="5">
        <f t="shared" si="3"/>
        <v>23327.909090909092</v>
      </c>
      <c r="L25" s="5">
        <f t="shared" si="4"/>
        <v>142.41333333333333</v>
      </c>
      <c r="M25" s="5">
        <f t="shared" si="5"/>
        <v>2913</v>
      </c>
      <c r="N25" s="5">
        <f t="shared" si="6"/>
        <v>3783.16</v>
      </c>
      <c r="O25" s="6">
        <f t="shared" si="7"/>
        <v>77382.81818181818</v>
      </c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5">
      <c r="A26" s="56" t="s">
        <v>73</v>
      </c>
      <c r="B26" s="5">
        <v>379</v>
      </c>
      <c r="C26" s="5">
        <v>11</v>
      </c>
      <c r="D26" s="5">
        <v>1289889</v>
      </c>
      <c r="E26" s="5">
        <v>275628</v>
      </c>
      <c r="F26" s="5">
        <v>51325</v>
      </c>
      <c r="G26" s="5">
        <v>926297</v>
      </c>
      <c r="H26" s="5">
        <f t="shared" si="0"/>
        <v>3403.401055408971</v>
      </c>
      <c r="I26" s="5">
        <f t="shared" si="1"/>
        <v>117262.63636363637</v>
      </c>
      <c r="J26" s="5">
        <f t="shared" si="2"/>
        <v>727.2506596306068</v>
      </c>
      <c r="K26" s="5">
        <f t="shared" si="3"/>
        <v>25057.090909090908</v>
      </c>
      <c r="L26" s="5">
        <f t="shared" si="4"/>
        <v>135.4221635883905</v>
      </c>
      <c r="M26" s="5">
        <f t="shared" si="5"/>
        <v>4665.909090909091</v>
      </c>
      <c r="N26" s="5">
        <f t="shared" si="6"/>
        <v>2444.0554089709763</v>
      </c>
      <c r="O26" s="6">
        <f t="shared" si="7"/>
        <v>84208.81818181818</v>
      </c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5">
      <c r="A27" s="56" t="s">
        <v>74</v>
      </c>
      <c r="B27" s="5">
        <v>258</v>
      </c>
      <c r="C27" s="5">
        <v>11</v>
      </c>
      <c r="D27" s="5">
        <v>1209295</v>
      </c>
      <c r="E27" s="5">
        <v>251993</v>
      </c>
      <c r="F27" s="5">
        <v>50069</v>
      </c>
      <c r="G27" s="5">
        <v>913887</v>
      </c>
      <c r="H27" s="5">
        <f t="shared" si="0"/>
        <v>4687.18992248062</v>
      </c>
      <c r="I27" s="5">
        <f t="shared" si="1"/>
        <v>109935.90909090909</v>
      </c>
      <c r="J27" s="5">
        <f t="shared" si="2"/>
        <v>976.7170542635658</v>
      </c>
      <c r="K27" s="5">
        <f t="shared" si="3"/>
        <v>22908.454545454544</v>
      </c>
      <c r="L27" s="5">
        <f t="shared" si="4"/>
        <v>194.06589147286823</v>
      </c>
      <c r="M27" s="5">
        <f t="shared" si="5"/>
        <v>4551.727272727273</v>
      </c>
      <c r="N27" s="5">
        <f t="shared" si="6"/>
        <v>3542.1976744186045</v>
      </c>
      <c r="O27" s="6">
        <f t="shared" si="7"/>
        <v>83080.63636363637</v>
      </c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5">
      <c r="A28" s="56" t="s">
        <v>75</v>
      </c>
      <c r="B28" s="5">
        <v>300</v>
      </c>
      <c r="C28" s="5">
        <v>11</v>
      </c>
      <c r="D28" s="5">
        <v>1355016</v>
      </c>
      <c r="E28" s="5">
        <v>365203</v>
      </c>
      <c r="F28" s="5">
        <v>52351</v>
      </c>
      <c r="G28" s="5">
        <v>933272</v>
      </c>
      <c r="H28" s="5">
        <f t="shared" si="0"/>
        <v>4516.72</v>
      </c>
      <c r="I28" s="5">
        <f t="shared" si="1"/>
        <v>123183.27272727272</v>
      </c>
      <c r="J28" s="5">
        <f t="shared" si="2"/>
        <v>1217.3433333333332</v>
      </c>
      <c r="K28" s="5">
        <f t="shared" si="3"/>
        <v>33200.27272727273</v>
      </c>
      <c r="L28" s="5">
        <f t="shared" si="4"/>
        <v>174.50333333333333</v>
      </c>
      <c r="M28" s="5">
        <f t="shared" si="5"/>
        <v>4759.181818181818</v>
      </c>
      <c r="N28" s="5">
        <f t="shared" si="6"/>
        <v>3110.9066666666668</v>
      </c>
      <c r="O28" s="6">
        <f t="shared" si="7"/>
        <v>84842.90909090909</v>
      </c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5">
      <c r="A29" s="56" t="s">
        <v>76</v>
      </c>
      <c r="B29" s="5">
        <v>275</v>
      </c>
      <c r="C29" s="5">
        <v>11</v>
      </c>
      <c r="D29" s="5">
        <v>1415022</v>
      </c>
      <c r="E29" s="5">
        <v>294278</v>
      </c>
      <c r="F29" s="5">
        <v>40418</v>
      </c>
      <c r="G29" s="5">
        <v>1064146</v>
      </c>
      <c r="H29" s="5">
        <f t="shared" si="0"/>
        <v>5145.534545454546</v>
      </c>
      <c r="I29" s="5">
        <f t="shared" si="1"/>
        <v>128638.36363636363</v>
      </c>
      <c r="J29" s="5">
        <f t="shared" si="2"/>
        <v>1070.101818181818</v>
      </c>
      <c r="K29" s="5">
        <f t="shared" si="3"/>
        <v>26752.545454545456</v>
      </c>
      <c r="L29" s="5">
        <f t="shared" si="4"/>
        <v>146.97454545454545</v>
      </c>
      <c r="M29" s="5">
        <f t="shared" si="5"/>
        <v>3674.3636363636365</v>
      </c>
      <c r="N29" s="5">
        <f t="shared" si="6"/>
        <v>3869.621818181818</v>
      </c>
      <c r="O29" s="6">
        <f t="shared" si="7"/>
        <v>96740.54545454546</v>
      </c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5">
      <c r="A30" s="56" t="s">
        <v>77</v>
      </c>
      <c r="B30" s="5">
        <v>338</v>
      </c>
      <c r="C30" s="5">
        <v>11</v>
      </c>
      <c r="D30" s="5">
        <v>1321719</v>
      </c>
      <c r="E30" s="5">
        <v>362678</v>
      </c>
      <c r="F30" s="5">
        <v>48418</v>
      </c>
      <c r="G30" s="5">
        <v>909076</v>
      </c>
      <c r="H30" s="5">
        <f t="shared" si="0"/>
        <v>3910.4112426035504</v>
      </c>
      <c r="I30" s="5">
        <f t="shared" si="1"/>
        <v>120156.27272727272</v>
      </c>
      <c r="J30" s="5">
        <f t="shared" si="2"/>
        <v>1073.0118343195265</v>
      </c>
      <c r="K30" s="5">
        <f t="shared" si="3"/>
        <v>32970.72727272727</v>
      </c>
      <c r="L30" s="5">
        <f t="shared" si="4"/>
        <v>143.24852071005918</v>
      </c>
      <c r="M30" s="5">
        <f t="shared" si="5"/>
        <v>4401.636363636364</v>
      </c>
      <c r="N30" s="5">
        <f t="shared" si="6"/>
        <v>2689.5739644970413</v>
      </c>
      <c r="O30" s="6">
        <f t="shared" si="7"/>
        <v>82643.27272727272</v>
      </c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5">
      <c r="A31" s="56" t="s">
        <v>78</v>
      </c>
      <c r="B31" s="5">
        <v>171</v>
      </c>
      <c r="C31" s="5">
        <v>7</v>
      </c>
      <c r="D31" s="5">
        <v>857932</v>
      </c>
      <c r="E31" s="5">
        <v>222241</v>
      </c>
      <c r="F31" s="5">
        <v>30566</v>
      </c>
      <c r="G31" s="5">
        <v>612442</v>
      </c>
      <c r="H31" s="5">
        <f t="shared" si="0"/>
        <v>5017.146198830409</v>
      </c>
      <c r="I31" s="5">
        <f t="shared" si="1"/>
        <v>122561.71428571429</v>
      </c>
      <c r="J31" s="5">
        <f t="shared" si="2"/>
        <v>1299.654970760234</v>
      </c>
      <c r="K31" s="5">
        <f t="shared" si="3"/>
        <v>31748.714285714286</v>
      </c>
      <c r="L31" s="5">
        <f t="shared" si="4"/>
        <v>178.7485380116959</v>
      </c>
      <c r="M31" s="5">
        <f t="shared" si="5"/>
        <v>4366.571428571428</v>
      </c>
      <c r="N31" s="5">
        <f t="shared" si="6"/>
        <v>3581.53216374269</v>
      </c>
      <c r="O31" s="6">
        <f t="shared" si="7"/>
        <v>87491.71428571429</v>
      </c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5">
      <c r="A32" s="56" t="s">
        <v>79</v>
      </c>
      <c r="B32" s="5">
        <v>320</v>
      </c>
      <c r="C32" s="5">
        <v>12</v>
      </c>
      <c r="D32" s="5">
        <v>2274973</v>
      </c>
      <c r="E32" s="5">
        <v>365640</v>
      </c>
      <c r="F32" s="5">
        <v>65343</v>
      </c>
      <c r="G32" s="5">
        <v>1536792</v>
      </c>
      <c r="H32" s="5">
        <f t="shared" si="0"/>
        <v>7109.290625</v>
      </c>
      <c r="I32" s="5">
        <f t="shared" si="1"/>
        <v>189581.08333333334</v>
      </c>
      <c r="J32" s="5">
        <f t="shared" si="2"/>
        <v>1142.625</v>
      </c>
      <c r="K32" s="5">
        <f t="shared" si="3"/>
        <v>30470</v>
      </c>
      <c r="L32" s="5">
        <f t="shared" si="4"/>
        <v>204.196875</v>
      </c>
      <c r="M32" s="5">
        <f t="shared" si="5"/>
        <v>5445.25</v>
      </c>
      <c r="N32" s="5">
        <f t="shared" si="6"/>
        <v>4802.475</v>
      </c>
      <c r="O32" s="6">
        <f t="shared" si="7"/>
        <v>128066</v>
      </c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5">
      <c r="A33" s="56" t="s">
        <v>80</v>
      </c>
      <c r="B33" s="5">
        <v>305</v>
      </c>
      <c r="C33" s="5">
        <v>11</v>
      </c>
      <c r="D33" s="5">
        <v>1274358</v>
      </c>
      <c r="E33" s="5">
        <v>300553</v>
      </c>
      <c r="F33" s="5">
        <v>49153</v>
      </c>
      <c r="G33" s="5">
        <v>922767</v>
      </c>
      <c r="H33" s="5">
        <f t="shared" si="0"/>
        <v>4178.222950819672</v>
      </c>
      <c r="I33" s="5">
        <f t="shared" si="1"/>
        <v>115850.72727272728</v>
      </c>
      <c r="J33" s="5">
        <f t="shared" si="2"/>
        <v>985.4196721311475</v>
      </c>
      <c r="K33" s="5">
        <f t="shared" si="3"/>
        <v>27323</v>
      </c>
      <c r="L33" s="5">
        <f t="shared" si="4"/>
        <v>161.15737704918033</v>
      </c>
      <c r="M33" s="5">
        <f t="shared" si="5"/>
        <v>4468.454545454545</v>
      </c>
      <c r="N33" s="5">
        <f t="shared" si="6"/>
        <v>3025.465573770492</v>
      </c>
      <c r="O33" s="6">
        <f t="shared" si="7"/>
        <v>83887.90909090909</v>
      </c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5">
      <c r="A34" s="56" t="s">
        <v>81</v>
      </c>
      <c r="B34" s="5">
        <v>315</v>
      </c>
      <c r="C34" s="5">
        <v>11</v>
      </c>
      <c r="D34" s="5">
        <v>1344573</v>
      </c>
      <c r="E34" s="5">
        <v>319819</v>
      </c>
      <c r="F34" s="5">
        <v>43522</v>
      </c>
      <c r="G34" s="5">
        <v>972083</v>
      </c>
      <c r="H34" s="5">
        <f t="shared" si="0"/>
        <v>4268.4857142857145</v>
      </c>
      <c r="I34" s="5">
        <f t="shared" si="1"/>
        <v>122233.90909090909</v>
      </c>
      <c r="J34" s="5">
        <f t="shared" si="2"/>
        <v>1015.2984126984127</v>
      </c>
      <c r="K34" s="5">
        <f t="shared" si="3"/>
        <v>29074.454545454544</v>
      </c>
      <c r="L34" s="5">
        <f t="shared" si="4"/>
        <v>138.16507936507938</v>
      </c>
      <c r="M34" s="5">
        <f t="shared" si="5"/>
        <v>3956.5454545454545</v>
      </c>
      <c r="N34" s="5">
        <f t="shared" si="6"/>
        <v>3085.9777777777776</v>
      </c>
      <c r="O34" s="6">
        <f t="shared" si="7"/>
        <v>88371.18181818182</v>
      </c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5">
      <c r="A35" s="56" t="s">
        <v>82</v>
      </c>
      <c r="B35" s="5">
        <v>284</v>
      </c>
      <c r="C35" s="5">
        <v>12</v>
      </c>
      <c r="D35" s="5">
        <v>1327893</v>
      </c>
      <c r="E35" s="5">
        <v>319246</v>
      </c>
      <c r="F35" s="5">
        <v>46515</v>
      </c>
      <c r="G35" s="5">
        <v>958118</v>
      </c>
      <c r="H35" s="5">
        <f t="shared" si="0"/>
        <v>4675.679577464789</v>
      </c>
      <c r="I35" s="5">
        <f t="shared" si="1"/>
        <v>110657.75</v>
      </c>
      <c r="J35" s="5">
        <f t="shared" si="2"/>
        <v>1124.105633802817</v>
      </c>
      <c r="K35" s="5">
        <f t="shared" si="3"/>
        <v>26603.833333333332</v>
      </c>
      <c r="L35" s="5">
        <f t="shared" si="4"/>
        <v>163.78521126760563</v>
      </c>
      <c r="M35" s="5">
        <f t="shared" si="5"/>
        <v>3876.25</v>
      </c>
      <c r="N35" s="5">
        <f t="shared" si="6"/>
        <v>3373.654929577465</v>
      </c>
      <c r="O35" s="6">
        <f t="shared" si="7"/>
        <v>79843.16666666667</v>
      </c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5">
      <c r="A36" s="56" t="s">
        <v>83</v>
      </c>
      <c r="B36" s="5">
        <v>282</v>
      </c>
      <c r="C36" s="5">
        <v>11</v>
      </c>
      <c r="D36" s="5">
        <v>1372492</v>
      </c>
      <c r="E36" s="5">
        <v>316952</v>
      </c>
      <c r="F36" s="5">
        <v>40650</v>
      </c>
      <c r="G36" s="5">
        <v>987022</v>
      </c>
      <c r="H36" s="5">
        <f t="shared" si="0"/>
        <v>4866.992907801418</v>
      </c>
      <c r="I36" s="5">
        <f t="shared" si="1"/>
        <v>124772</v>
      </c>
      <c r="J36" s="5">
        <f t="shared" si="2"/>
        <v>1123.9432624113474</v>
      </c>
      <c r="K36" s="5">
        <f t="shared" si="3"/>
        <v>28813.81818181818</v>
      </c>
      <c r="L36" s="5">
        <f t="shared" si="4"/>
        <v>144.14893617021278</v>
      </c>
      <c r="M36" s="5">
        <f t="shared" si="5"/>
        <v>3695.4545454545455</v>
      </c>
      <c r="N36" s="5">
        <f t="shared" si="6"/>
        <v>3500.078014184397</v>
      </c>
      <c r="O36" s="6">
        <f t="shared" si="7"/>
        <v>89729.27272727272</v>
      </c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5.75" thickBot="1">
      <c r="A37" s="57" t="s">
        <v>84</v>
      </c>
      <c r="B37" s="12">
        <v>280</v>
      </c>
      <c r="C37" s="12">
        <v>11</v>
      </c>
      <c r="D37" s="12">
        <v>1412553</v>
      </c>
      <c r="E37" s="12">
        <v>309351</v>
      </c>
      <c r="F37" s="12">
        <v>29006</v>
      </c>
      <c r="G37" s="12">
        <v>1061634</v>
      </c>
      <c r="H37" s="12">
        <f t="shared" si="0"/>
        <v>5044.832142857143</v>
      </c>
      <c r="I37" s="12">
        <f t="shared" si="1"/>
        <v>128413.90909090909</v>
      </c>
      <c r="J37" s="12">
        <f t="shared" si="2"/>
        <v>1104.825</v>
      </c>
      <c r="K37" s="12">
        <f t="shared" si="3"/>
        <v>28122.81818181818</v>
      </c>
      <c r="L37" s="12">
        <f t="shared" si="4"/>
        <v>103.59285714285714</v>
      </c>
      <c r="M37" s="12">
        <f t="shared" si="5"/>
        <v>2636.909090909091</v>
      </c>
      <c r="N37" s="12">
        <f t="shared" si="6"/>
        <v>3791.55</v>
      </c>
      <c r="O37" s="13">
        <f t="shared" si="7"/>
        <v>96512.18181818182</v>
      </c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5.75" thickBot="1">
      <c r="A38" s="58" t="s">
        <v>44</v>
      </c>
      <c r="B38" s="14">
        <f aca="true" t="shared" si="8" ref="B38:G38">SUM(B6:B37)</f>
        <v>7315</v>
      </c>
      <c r="C38" s="14">
        <f t="shared" si="8"/>
        <v>287</v>
      </c>
      <c r="D38" s="14">
        <f t="shared" si="8"/>
        <v>36685293</v>
      </c>
      <c r="E38" s="14">
        <f t="shared" si="8"/>
        <v>8175483</v>
      </c>
      <c r="F38" s="14">
        <f t="shared" si="8"/>
        <v>1456671</v>
      </c>
      <c r="G38" s="14">
        <f t="shared" si="8"/>
        <v>26767110</v>
      </c>
      <c r="H38" s="14">
        <f t="shared" si="0"/>
        <v>5015.077648667122</v>
      </c>
      <c r="I38" s="14">
        <f t="shared" si="1"/>
        <v>127823.32055749129</v>
      </c>
      <c r="J38" s="14">
        <f t="shared" si="2"/>
        <v>1117.6326725905674</v>
      </c>
      <c r="K38" s="14">
        <f t="shared" si="3"/>
        <v>28486.003484320558</v>
      </c>
      <c r="L38" s="14">
        <f t="shared" si="4"/>
        <v>199.1347915242652</v>
      </c>
      <c r="M38" s="14">
        <f t="shared" si="5"/>
        <v>5075.508710801394</v>
      </c>
      <c r="N38" s="14">
        <f t="shared" si="6"/>
        <v>3659.2084757347916</v>
      </c>
      <c r="O38" s="14">
        <f t="shared" si="7"/>
        <v>93265.19163763066</v>
      </c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5">
      <c r="A39" s="59" t="s">
        <v>85</v>
      </c>
      <c r="B39" s="20">
        <v>314</v>
      </c>
      <c r="C39" s="20">
        <v>13</v>
      </c>
      <c r="D39" s="20">
        <v>1580735</v>
      </c>
      <c r="E39" s="20">
        <v>398261</v>
      </c>
      <c r="F39" s="20">
        <v>45048</v>
      </c>
      <c r="G39" s="20">
        <v>1068064</v>
      </c>
      <c r="H39" s="20">
        <f t="shared" si="0"/>
        <v>5034.1878980891715</v>
      </c>
      <c r="I39" s="20">
        <f t="shared" si="1"/>
        <v>121595</v>
      </c>
      <c r="J39" s="20">
        <f t="shared" si="2"/>
        <v>1268.3471337579617</v>
      </c>
      <c r="K39" s="20">
        <f t="shared" si="3"/>
        <v>30635.46153846154</v>
      </c>
      <c r="L39" s="20">
        <f t="shared" si="4"/>
        <v>143.46496815286625</v>
      </c>
      <c r="M39" s="20">
        <f t="shared" si="5"/>
        <v>3465.230769230769</v>
      </c>
      <c r="N39" s="20">
        <f t="shared" si="6"/>
        <v>3401.477707006369</v>
      </c>
      <c r="O39" s="24">
        <f t="shared" si="7"/>
        <v>82158.76923076923</v>
      </c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5">
      <c r="A40" s="56" t="s">
        <v>86</v>
      </c>
      <c r="B40" s="5">
        <v>383</v>
      </c>
      <c r="C40" s="5">
        <v>14</v>
      </c>
      <c r="D40" s="5">
        <v>1692061</v>
      </c>
      <c r="E40" s="5">
        <v>276997</v>
      </c>
      <c r="F40" s="5">
        <v>40781</v>
      </c>
      <c r="G40" s="5">
        <v>1277264</v>
      </c>
      <c r="H40" s="5">
        <f t="shared" si="0"/>
        <v>4417.913838120105</v>
      </c>
      <c r="I40" s="5">
        <f t="shared" si="1"/>
        <v>120861.5</v>
      </c>
      <c r="J40" s="5">
        <f t="shared" si="2"/>
        <v>723.2297650130548</v>
      </c>
      <c r="K40" s="5">
        <f t="shared" si="3"/>
        <v>19785.5</v>
      </c>
      <c r="L40" s="5">
        <f t="shared" si="4"/>
        <v>106.47780678851174</v>
      </c>
      <c r="M40" s="5">
        <f t="shared" si="5"/>
        <v>2912.9285714285716</v>
      </c>
      <c r="N40" s="5">
        <f t="shared" si="6"/>
        <v>3334.8929503916447</v>
      </c>
      <c r="O40" s="6">
        <f t="shared" si="7"/>
        <v>91233.14285714286</v>
      </c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5">
      <c r="A41" s="56" t="s">
        <v>87</v>
      </c>
      <c r="B41" s="5">
        <v>276</v>
      </c>
      <c r="C41" s="5">
        <v>12</v>
      </c>
      <c r="D41" s="5">
        <v>1727701</v>
      </c>
      <c r="E41" s="5">
        <v>403745</v>
      </c>
      <c r="F41" s="5">
        <v>52864</v>
      </c>
      <c r="G41" s="5">
        <v>1222428</v>
      </c>
      <c r="H41" s="5">
        <f t="shared" si="0"/>
        <v>6259.786231884058</v>
      </c>
      <c r="I41" s="5">
        <f t="shared" si="1"/>
        <v>143975.08333333334</v>
      </c>
      <c r="J41" s="5">
        <f t="shared" si="2"/>
        <v>1462.8442028985507</v>
      </c>
      <c r="K41" s="5">
        <f t="shared" si="3"/>
        <v>33645.416666666664</v>
      </c>
      <c r="L41" s="5">
        <f t="shared" si="4"/>
        <v>191.53623188405797</v>
      </c>
      <c r="M41" s="5">
        <f t="shared" si="5"/>
        <v>4405.333333333333</v>
      </c>
      <c r="N41" s="5">
        <f t="shared" si="6"/>
        <v>4429.086956521739</v>
      </c>
      <c r="O41" s="6">
        <f t="shared" si="7"/>
        <v>101869</v>
      </c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5.75" thickBot="1">
      <c r="A42" s="57" t="s">
        <v>88</v>
      </c>
      <c r="B42" s="12">
        <v>250</v>
      </c>
      <c r="C42" s="12">
        <v>12</v>
      </c>
      <c r="D42" s="12">
        <v>1822341</v>
      </c>
      <c r="E42" s="12">
        <v>337095</v>
      </c>
      <c r="F42" s="12">
        <v>46345</v>
      </c>
      <c r="G42" s="12">
        <v>1379870</v>
      </c>
      <c r="H42" s="12">
        <f t="shared" si="0"/>
        <v>7289.364</v>
      </c>
      <c r="I42" s="12">
        <f t="shared" si="1"/>
        <v>151861.75</v>
      </c>
      <c r="J42" s="12">
        <f t="shared" si="2"/>
        <v>1348.38</v>
      </c>
      <c r="K42" s="12">
        <f t="shared" si="3"/>
        <v>28091.25</v>
      </c>
      <c r="L42" s="12">
        <f t="shared" si="4"/>
        <v>185.38</v>
      </c>
      <c r="M42" s="12">
        <f t="shared" si="5"/>
        <v>3862.0833333333335</v>
      </c>
      <c r="N42" s="12">
        <f t="shared" si="6"/>
        <v>5519.48</v>
      </c>
      <c r="O42" s="13">
        <f t="shared" si="7"/>
        <v>114989.16666666667</v>
      </c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5.75" thickBot="1">
      <c r="A43" s="58" t="s">
        <v>44</v>
      </c>
      <c r="B43" s="14">
        <f aca="true" t="shared" si="9" ref="B43:G43">SUM(B39:B42)</f>
        <v>1223</v>
      </c>
      <c r="C43" s="14">
        <f t="shared" si="9"/>
        <v>51</v>
      </c>
      <c r="D43" s="14">
        <f t="shared" si="9"/>
        <v>6822838</v>
      </c>
      <c r="E43" s="14">
        <f t="shared" si="9"/>
        <v>1416098</v>
      </c>
      <c r="F43" s="14">
        <f t="shared" si="9"/>
        <v>185038</v>
      </c>
      <c r="G43" s="14">
        <f t="shared" si="9"/>
        <v>4947626</v>
      </c>
      <c r="H43" s="14">
        <f t="shared" si="0"/>
        <v>5578.771872444808</v>
      </c>
      <c r="I43" s="14">
        <f t="shared" si="1"/>
        <v>133781.13725490196</v>
      </c>
      <c r="J43" s="14">
        <f t="shared" si="2"/>
        <v>1157.8887980376123</v>
      </c>
      <c r="K43" s="14">
        <f t="shared" si="3"/>
        <v>27766.62745098039</v>
      </c>
      <c r="L43" s="14">
        <f t="shared" si="4"/>
        <v>151.29844644317254</v>
      </c>
      <c r="M43" s="14">
        <f t="shared" si="5"/>
        <v>3628.1960784313724</v>
      </c>
      <c r="N43" s="60">
        <f t="shared" si="6"/>
        <v>4045.483237939493</v>
      </c>
      <c r="O43" s="14">
        <f t="shared" si="7"/>
        <v>97012.27450980392</v>
      </c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5.75" thickBot="1">
      <c r="A44" s="58" t="s">
        <v>89</v>
      </c>
      <c r="B44" s="14">
        <f aca="true" t="shared" si="10" ref="B44:G44">B38+B43</f>
        <v>8538</v>
      </c>
      <c r="C44" s="14">
        <f t="shared" si="10"/>
        <v>338</v>
      </c>
      <c r="D44" s="14">
        <f t="shared" si="10"/>
        <v>43508131</v>
      </c>
      <c r="E44" s="14">
        <f t="shared" si="10"/>
        <v>9591581</v>
      </c>
      <c r="F44" s="14">
        <f t="shared" si="10"/>
        <v>1641709</v>
      </c>
      <c r="G44" s="14">
        <f t="shared" si="10"/>
        <v>31714736</v>
      </c>
      <c r="H44" s="14">
        <f t="shared" si="0"/>
        <v>5095.82232372921</v>
      </c>
      <c r="I44" s="14">
        <f t="shared" si="1"/>
        <v>128722.28106508875</v>
      </c>
      <c r="J44" s="14">
        <f t="shared" si="2"/>
        <v>1123.3990395877254</v>
      </c>
      <c r="K44" s="14">
        <f t="shared" si="3"/>
        <v>28377.458579881655</v>
      </c>
      <c r="L44" s="23">
        <f t="shared" si="4"/>
        <v>192.28261888029985</v>
      </c>
      <c r="M44" s="23">
        <f t="shared" si="5"/>
        <v>4857.127218934911</v>
      </c>
      <c r="N44" s="61">
        <f t="shared" si="6"/>
        <v>3714.539236355118</v>
      </c>
      <c r="O44" s="14">
        <f t="shared" si="7"/>
        <v>93830.5798816568</v>
      </c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15" ht="15">
      <c r="A47" s="35"/>
      <c r="B47" s="17" t="s">
        <v>92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5">
      <c r="A48" s="35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5">
      <c r="A49" s="35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5">
      <c r="A50" s="35"/>
      <c r="B50" s="17"/>
      <c r="C50" s="17"/>
      <c r="D50" s="17"/>
      <c r="E50" s="17"/>
      <c r="F50" s="17"/>
      <c r="G50" s="37"/>
      <c r="H50" s="37"/>
      <c r="I50" s="37"/>
      <c r="J50" s="37"/>
      <c r="K50" s="17"/>
      <c r="L50" s="17"/>
      <c r="M50" s="17"/>
      <c r="N50" s="17"/>
      <c r="O50" s="17"/>
    </row>
    <row r="51" spans="1:15" ht="15">
      <c r="A51" s="35"/>
      <c r="B51" s="17"/>
      <c r="C51" s="17"/>
      <c r="D51" s="17"/>
      <c r="E51" s="17"/>
      <c r="F51" s="17"/>
      <c r="G51" s="37"/>
      <c r="H51" s="37"/>
      <c r="I51" s="37"/>
      <c r="J51" s="37"/>
      <c r="K51" s="17"/>
      <c r="L51" s="17"/>
      <c r="M51" s="17"/>
      <c r="N51" s="17"/>
      <c r="O51" s="17"/>
    </row>
    <row r="52" spans="1:15" ht="15">
      <c r="A52" s="29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5">
      <c r="A53" s="29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2:15" ht="1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2:15" ht="1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2:15" ht="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2:15" ht="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2:15" ht="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</sheetData>
  <mergeCells count="16">
    <mergeCell ref="C1:L2"/>
    <mergeCell ref="A3:A5"/>
    <mergeCell ref="B3:B5"/>
    <mergeCell ref="C3:C5"/>
    <mergeCell ref="D3:D5"/>
    <mergeCell ref="E3:G3"/>
    <mergeCell ref="E4:E5"/>
    <mergeCell ref="F4:F5"/>
    <mergeCell ref="G4:G5"/>
    <mergeCell ref="H3:I3"/>
    <mergeCell ref="J3:O3"/>
    <mergeCell ref="N4:O4"/>
    <mergeCell ref="H4:H5"/>
    <mergeCell ref="I4:I5"/>
    <mergeCell ref="J4:K4"/>
    <mergeCell ref="L4:M4"/>
  </mergeCells>
  <printOptions/>
  <pageMargins left="0.41" right="0.29" top="0.3" bottom="0.23" header="0.29" footer="0.21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7"/>
  <sheetViews>
    <sheetView tabSelected="1" workbookViewId="0" topLeftCell="A1">
      <selection activeCell="C30" sqref="C30"/>
    </sheetView>
  </sheetViews>
  <sheetFormatPr defaultColWidth="9.00390625" defaultRowHeight="12.75"/>
  <cols>
    <col min="1" max="1" width="15.75390625" style="0" customWidth="1"/>
    <col min="2" max="2" width="20.25390625" style="0" customWidth="1"/>
    <col min="3" max="3" width="13.375" style="0" customWidth="1"/>
    <col min="4" max="4" width="21.625" style="0" customWidth="1"/>
    <col min="6" max="6" width="12.25390625" style="0" customWidth="1"/>
    <col min="7" max="7" width="13.25390625" style="0" customWidth="1"/>
    <col min="8" max="8" width="12.625" style="0" customWidth="1"/>
    <col min="9" max="9" width="12.00390625" style="0" customWidth="1"/>
  </cols>
  <sheetData>
    <row r="1" spans="1:4" ht="15.75">
      <c r="A1" s="109" t="s">
        <v>114</v>
      </c>
      <c r="B1" s="109"/>
      <c r="C1" s="109"/>
      <c r="D1" s="109"/>
    </row>
    <row r="2" spans="1:4" ht="13.5" thickBot="1">
      <c r="A2" s="110"/>
      <c r="D2" t="s">
        <v>115</v>
      </c>
    </row>
    <row r="3" spans="1:9" ht="51.75" thickBot="1">
      <c r="A3" s="111" t="s">
        <v>116</v>
      </c>
      <c r="B3" s="112" t="s">
        <v>117</v>
      </c>
      <c r="C3" s="113" t="s">
        <v>118</v>
      </c>
      <c r="D3" s="114" t="s">
        <v>119</v>
      </c>
      <c r="F3" t="s">
        <v>120</v>
      </c>
      <c r="G3" t="s">
        <v>121</v>
      </c>
      <c r="H3" t="s">
        <v>122</v>
      </c>
      <c r="I3" t="s">
        <v>123</v>
      </c>
    </row>
    <row r="4" spans="1:4" ht="12.75">
      <c r="A4" s="115"/>
      <c r="B4" s="116"/>
      <c r="C4" s="116"/>
      <c r="D4" s="117"/>
    </row>
    <row r="5" spans="1:4" ht="12.75">
      <c r="A5" s="118" t="s">
        <v>124</v>
      </c>
      <c r="B5" s="119"/>
      <c r="C5" s="119"/>
      <c r="D5" s="120"/>
    </row>
    <row r="6" spans="1:9" ht="12.75">
      <c r="A6" s="121" t="s">
        <v>125</v>
      </c>
      <c r="B6" s="122">
        <f aca="true" t="shared" si="0" ref="B6:B42">G6+F6</f>
        <v>891322</v>
      </c>
      <c r="C6" s="122">
        <f aca="true" t="shared" si="1" ref="C6:C42">(H6+I6)*1.0404527752</f>
        <v>1143595.9801639016</v>
      </c>
      <c r="D6" s="123">
        <f aca="true" t="shared" si="2" ref="D6:D42">C6-B6</f>
        <v>252273.98016390158</v>
      </c>
      <c r="F6" s="124">
        <v>237380</v>
      </c>
      <c r="G6" s="124">
        <v>653942</v>
      </c>
      <c r="H6" s="124">
        <v>840417</v>
      </c>
      <c r="I6" s="124">
        <v>258716</v>
      </c>
    </row>
    <row r="7" spans="1:9" ht="12.75">
      <c r="A7" s="121" t="s">
        <v>126</v>
      </c>
      <c r="B7" s="122">
        <f t="shared" si="0"/>
        <v>1344076</v>
      </c>
      <c r="C7" s="122">
        <f t="shared" si="1"/>
        <v>1737557.175036775</v>
      </c>
      <c r="D7" s="123">
        <f t="shared" si="2"/>
        <v>393481.17503677495</v>
      </c>
      <c r="F7" s="124">
        <v>357961</v>
      </c>
      <c r="G7" s="124">
        <v>986115</v>
      </c>
      <c r="H7" s="124">
        <v>1277666</v>
      </c>
      <c r="I7" s="124">
        <v>392335</v>
      </c>
    </row>
    <row r="8" spans="1:9" ht="12.75">
      <c r="A8" s="121" t="s">
        <v>127</v>
      </c>
      <c r="B8" s="122">
        <f t="shared" si="0"/>
        <v>796717</v>
      </c>
      <c r="C8" s="122">
        <f t="shared" si="1"/>
        <v>1024648.2975447119</v>
      </c>
      <c r="D8" s="123">
        <f t="shared" si="2"/>
        <v>227931.29754471185</v>
      </c>
      <c r="F8" s="124">
        <v>212185</v>
      </c>
      <c r="G8" s="124">
        <v>584532</v>
      </c>
      <c r="H8" s="124">
        <v>754257</v>
      </c>
      <c r="I8" s="124">
        <v>230553</v>
      </c>
    </row>
    <row r="9" spans="1:9" ht="12.75">
      <c r="A9" s="121" t="s">
        <v>128</v>
      </c>
      <c r="B9" s="122">
        <f t="shared" si="0"/>
        <v>1164046</v>
      </c>
      <c r="C9" s="122">
        <f t="shared" si="1"/>
        <v>1489552.7706345527</v>
      </c>
      <c r="D9" s="123">
        <f t="shared" si="2"/>
        <v>325506.7706345527</v>
      </c>
      <c r="F9" s="124">
        <v>310013</v>
      </c>
      <c r="G9" s="124">
        <v>854033</v>
      </c>
      <c r="H9" s="124">
        <v>1088515</v>
      </c>
      <c r="I9" s="124">
        <v>343124</v>
      </c>
    </row>
    <row r="10" spans="1:9" ht="12.75">
      <c r="A10" s="121" t="s">
        <v>129</v>
      </c>
      <c r="B10" s="122">
        <f t="shared" si="0"/>
        <v>883389</v>
      </c>
      <c r="C10" s="122">
        <f t="shared" si="1"/>
        <v>1135283.8029428287</v>
      </c>
      <c r="D10" s="123">
        <f t="shared" si="2"/>
        <v>251894.80294282874</v>
      </c>
      <c r="F10" s="124">
        <v>235267</v>
      </c>
      <c r="G10" s="124">
        <v>648122</v>
      </c>
      <c r="H10" s="124">
        <v>837613</v>
      </c>
      <c r="I10" s="124">
        <v>253531</v>
      </c>
    </row>
    <row r="11" spans="1:9" ht="12.75">
      <c r="A11" s="121" t="s">
        <v>130</v>
      </c>
      <c r="B11" s="122">
        <f t="shared" si="0"/>
        <v>843392</v>
      </c>
      <c r="C11" s="122">
        <f t="shared" si="1"/>
        <v>1088650.7095583647</v>
      </c>
      <c r="D11" s="123">
        <f t="shared" si="2"/>
        <v>245258.7095583647</v>
      </c>
      <c r="F11" s="124">
        <v>224616</v>
      </c>
      <c r="G11" s="124">
        <v>618776</v>
      </c>
      <c r="H11" s="124">
        <v>796487</v>
      </c>
      <c r="I11" s="124">
        <v>249837</v>
      </c>
    </row>
    <row r="12" spans="1:9" ht="12.75">
      <c r="A12" s="121" t="s">
        <v>131</v>
      </c>
      <c r="B12" s="122">
        <f t="shared" si="0"/>
        <v>513059</v>
      </c>
      <c r="C12" s="122">
        <f t="shared" si="1"/>
        <v>654608.1466865063</v>
      </c>
      <c r="D12" s="123">
        <f t="shared" si="2"/>
        <v>141549.14668650634</v>
      </c>
      <c r="F12" s="124">
        <v>136640</v>
      </c>
      <c r="G12" s="124">
        <v>376419</v>
      </c>
      <c r="H12" s="124">
        <v>478209</v>
      </c>
      <c r="I12" s="124">
        <v>150948</v>
      </c>
    </row>
    <row r="13" spans="1:9" ht="12.75">
      <c r="A13" s="121" t="s">
        <v>132</v>
      </c>
      <c r="B13" s="122">
        <f t="shared" si="0"/>
        <v>1425230</v>
      </c>
      <c r="C13" s="122">
        <f t="shared" si="1"/>
        <v>1796808.8796788647</v>
      </c>
      <c r="D13" s="123">
        <f t="shared" si="2"/>
        <v>371578.87967886473</v>
      </c>
      <c r="F13" s="124">
        <v>379573</v>
      </c>
      <c r="G13" s="124">
        <v>1045657</v>
      </c>
      <c r="H13" s="124">
        <v>1324590</v>
      </c>
      <c r="I13" s="124">
        <v>402359</v>
      </c>
    </row>
    <row r="14" spans="1:9" ht="12.75">
      <c r="A14" s="121" t="s">
        <v>133</v>
      </c>
      <c r="B14" s="122">
        <f t="shared" si="0"/>
        <v>1113275</v>
      </c>
      <c r="C14" s="122">
        <f t="shared" si="1"/>
        <v>1436049.567575443</v>
      </c>
      <c r="D14" s="123">
        <f t="shared" si="2"/>
        <v>322774.56757544307</v>
      </c>
      <c r="F14" s="124">
        <v>296492</v>
      </c>
      <c r="G14" s="124">
        <v>816783</v>
      </c>
      <c r="H14" s="124">
        <v>1053026</v>
      </c>
      <c r="I14" s="124">
        <v>327190</v>
      </c>
    </row>
    <row r="15" spans="1:9" ht="12.75">
      <c r="A15" s="121" t="s">
        <v>134</v>
      </c>
      <c r="B15" s="122">
        <f t="shared" si="0"/>
        <v>1769101</v>
      </c>
      <c r="C15" s="122">
        <f t="shared" si="1"/>
        <v>2265458.9827594254</v>
      </c>
      <c r="D15" s="123">
        <f t="shared" si="2"/>
        <v>496357.9827594254</v>
      </c>
      <c r="F15" s="124">
        <v>471154</v>
      </c>
      <c r="G15" s="124">
        <v>1297947</v>
      </c>
      <c r="H15" s="124">
        <v>1657077</v>
      </c>
      <c r="I15" s="124">
        <v>520301</v>
      </c>
    </row>
    <row r="16" spans="1:9" ht="12.75">
      <c r="A16" s="121" t="s">
        <v>135</v>
      </c>
      <c r="B16" s="122">
        <f t="shared" si="0"/>
        <v>1913953</v>
      </c>
      <c r="C16" s="122">
        <f t="shared" si="1"/>
        <v>2471535.221226638</v>
      </c>
      <c r="D16" s="123">
        <f t="shared" si="2"/>
        <v>557582.2212266382</v>
      </c>
      <c r="F16" s="124">
        <v>509732</v>
      </c>
      <c r="G16" s="124">
        <v>1404221</v>
      </c>
      <c r="H16" s="124">
        <v>1813857</v>
      </c>
      <c r="I16" s="124">
        <v>561585</v>
      </c>
    </row>
    <row r="17" spans="1:9" ht="12.75">
      <c r="A17" s="121" t="s">
        <v>136</v>
      </c>
      <c r="B17" s="122">
        <f t="shared" si="0"/>
        <v>607950</v>
      </c>
      <c r="C17" s="122">
        <f t="shared" si="1"/>
        <v>828700.8668440711</v>
      </c>
      <c r="D17" s="123">
        <f t="shared" si="2"/>
        <v>220750.86684407108</v>
      </c>
      <c r="F17" s="124">
        <v>161911</v>
      </c>
      <c r="G17" s="124">
        <v>446039</v>
      </c>
      <c r="H17" s="124">
        <v>603874</v>
      </c>
      <c r="I17" s="124">
        <v>192607</v>
      </c>
    </row>
    <row r="18" spans="1:9" ht="12.75">
      <c r="A18" s="121" t="s">
        <v>137</v>
      </c>
      <c r="B18" s="122">
        <f t="shared" si="0"/>
        <v>1423886</v>
      </c>
      <c r="C18" s="122">
        <f t="shared" si="1"/>
        <v>1796960.7857840438</v>
      </c>
      <c r="D18" s="123">
        <f t="shared" si="2"/>
        <v>373074.78578404384</v>
      </c>
      <c r="F18" s="124">
        <v>379214</v>
      </c>
      <c r="G18" s="124">
        <v>1044672</v>
      </c>
      <c r="H18" s="124">
        <v>1315360</v>
      </c>
      <c r="I18" s="124">
        <v>411735</v>
      </c>
    </row>
    <row r="19" spans="1:9" ht="12.75">
      <c r="A19" s="121" t="s">
        <v>138</v>
      </c>
      <c r="B19" s="122">
        <f t="shared" si="0"/>
        <v>1065756</v>
      </c>
      <c r="C19" s="122">
        <f t="shared" si="1"/>
        <v>1376220.4116431174</v>
      </c>
      <c r="D19" s="123">
        <f t="shared" si="2"/>
        <v>310464.41164311743</v>
      </c>
      <c r="F19" s="124">
        <v>283837</v>
      </c>
      <c r="G19" s="124">
        <v>781919</v>
      </c>
      <c r="H19" s="124">
        <v>1001628</v>
      </c>
      <c r="I19" s="124">
        <v>321085</v>
      </c>
    </row>
    <row r="20" spans="1:9" ht="12.75">
      <c r="A20" s="121" t="s">
        <v>139</v>
      </c>
      <c r="B20" s="122">
        <f t="shared" si="0"/>
        <v>1052004</v>
      </c>
      <c r="C20" s="122">
        <f t="shared" si="1"/>
        <v>1335388.8829331687</v>
      </c>
      <c r="D20" s="123">
        <f t="shared" si="2"/>
        <v>283384.8829331687</v>
      </c>
      <c r="F20" s="124">
        <v>280175</v>
      </c>
      <c r="G20" s="124">
        <v>771829</v>
      </c>
      <c r="H20" s="124">
        <v>986702</v>
      </c>
      <c r="I20" s="124">
        <v>296767</v>
      </c>
    </row>
    <row r="21" spans="1:9" ht="12.75">
      <c r="A21" s="121" t="s">
        <v>140</v>
      </c>
      <c r="B21" s="122">
        <f t="shared" si="0"/>
        <v>1597211</v>
      </c>
      <c r="C21" s="122">
        <f t="shared" si="1"/>
        <v>2060236.9560206519</v>
      </c>
      <c r="D21" s="123">
        <f t="shared" si="2"/>
        <v>463025.95602065185</v>
      </c>
      <c r="F21" s="124">
        <v>425377</v>
      </c>
      <c r="G21" s="124">
        <v>1171834</v>
      </c>
      <c r="H21" s="124">
        <v>1510268</v>
      </c>
      <c r="I21" s="124">
        <v>469867</v>
      </c>
    </row>
    <row r="22" spans="1:9" ht="12.75">
      <c r="A22" s="121" t="s">
        <v>141</v>
      </c>
      <c r="B22" s="122">
        <f t="shared" si="0"/>
        <v>1420698</v>
      </c>
      <c r="C22" s="122">
        <f t="shared" si="1"/>
        <v>1820882.8759914422</v>
      </c>
      <c r="D22" s="123">
        <f t="shared" si="2"/>
        <v>400184.87599144224</v>
      </c>
      <c r="F22" s="124">
        <v>378367</v>
      </c>
      <c r="G22" s="124">
        <v>1042331</v>
      </c>
      <c r="H22" s="124">
        <v>1331231</v>
      </c>
      <c r="I22" s="124">
        <v>418856</v>
      </c>
    </row>
    <row r="23" spans="1:9" ht="12.75">
      <c r="A23" s="121" t="s">
        <v>142</v>
      </c>
      <c r="B23" s="122">
        <f t="shared" si="0"/>
        <v>1790459</v>
      </c>
      <c r="C23" s="122">
        <f t="shared" si="1"/>
        <v>2246244.941359807</v>
      </c>
      <c r="D23" s="123">
        <f t="shared" si="2"/>
        <v>455785.9413598068</v>
      </c>
      <c r="F23" s="124">
        <v>476842</v>
      </c>
      <c r="G23" s="124">
        <v>1313617</v>
      </c>
      <c r="H23" s="124">
        <v>1638708</v>
      </c>
      <c r="I23" s="124">
        <v>520203</v>
      </c>
    </row>
    <row r="24" spans="1:9" ht="12.75">
      <c r="A24" s="121" t="s">
        <v>143</v>
      </c>
      <c r="B24" s="122">
        <f t="shared" si="0"/>
        <v>1834118</v>
      </c>
      <c r="C24" s="122">
        <f t="shared" si="1"/>
        <v>2371769.3259710358</v>
      </c>
      <c r="D24" s="123">
        <f t="shared" si="2"/>
        <v>537651.3259710358</v>
      </c>
      <c r="F24" s="124">
        <v>488469</v>
      </c>
      <c r="G24" s="124">
        <v>1345649</v>
      </c>
      <c r="H24" s="124">
        <v>1735661</v>
      </c>
      <c r="I24" s="124">
        <v>543894</v>
      </c>
    </row>
    <row r="25" spans="1:9" ht="12.75">
      <c r="A25" s="121" t="s">
        <v>144</v>
      </c>
      <c r="B25" s="122">
        <f t="shared" si="0"/>
        <v>1439732</v>
      </c>
      <c r="C25" s="122">
        <f t="shared" si="1"/>
        <v>1862467.6925106358</v>
      </c>
      <c r="D25" s="123">
        <f t="shared" si="2"/>
        <v>422735.6925106358</v>
      </c>
      <c r="F25" s="124">
        <v>383436</v>
      </c>
      <c r="G25" s="124">
        <v>1056296</v>
      </c>
      <c r="H25" s="124">
        <v>1370518</v>
      </c>
      <c r="I25" s="124">
        <v>419537</v>
      </c>
    </row>
    <row r="26" spans="1:9" ht="12.75">
      <c r="A26" s="121" t="s">
        <v>145</v>
      </c>
      <c r="B26" s="122">
        <f t="shared" si="0"/>
        <v>1555290</v>
      </c>
      <c r="C26" s="122">
        <f t="shared" si="1"/>
        <v>2016746.030017292</v>
      </c>
      <c r="D26" s="123">
        <f t="shared" si="2"/>
        <v>461456.0300172919</v>
      </c>
      <c r="F26" s="124">
        <v>414212</v>
      </c>
      <c r="G26" s="124">
        <v>1141078</v>
      </c>
      <c r="H26" s="124">
        <v>1476691</v>
      </c>
      <c r="I26" s="124">
        <v>461644</v>
      </c>
    </row>
    <row r="27" spans="1:9" ht="12.75">
      <c r="A27" s="121" t="s">
        <v>146</v>
      </c>
      <c r="B27" s="122">
        <f t="shared" si="0"/>
        <v>1512347</v>
      </c>
      <c r="C27" s="122">
        <f t="shared" si="1"/>
        <v>1945297.0974915326</v>
      </c>
      <c r="D27" s="123">
        <f t="shared" si="2"/>
        <v>432950.09749153256</v>
      </c>
      <c r="F27" s="124">
        <v>402774</v>
      </c>
      <c r="G27" s="124">
        <v>1109573</v>
      </c>
      <c r="H27" s="124">
        <v>1441109</v>
      </c>
      <c r="I27" s="124">
        <v>428555</v>
      </c>
    </row>
    <row r="28" spans="1:9" ht="12.75">
      <c r="A28" s="121" t="s">
        <v>147</v>
      </c>
      <c r="B28" s="122">
        <f t="shared" si="0"/>
        <v>1473623</v>
      </c>
      <c r="C28" s="122">
        <f t="shared" si="1"/>
        <v>1909195.467097643</v>
      </c>
      <c r="D28" s="123">
        <f t="shared" si="2"/>
        <v>435572.46709764306</v>
      </c>
      <c r="F28" s="124">
        <v>392464</v>
      </c>
      <c r="G28" s="124">
        <v>1081159</v>
      </c>
      <c r="H28" s="124">
        <v>1397273</v>
      </c>
      <c r="I28" s="124">
        <v>437693</v>
      </c>
    </row>
    <row r="29" spans="1:9" ht="12.75">
      <c r="A29" s="121" t="s">
        <v>148</v>
      </c>
      <c r="B29" s="122">
        <f t="shared" si="0"/>
        <v>1701914</v>
      </c>
      <c r="C29" s="122">
        <f t="shared" si="1"/>
        <v>2190929.269566299</v>
      </c>
      <c r="D29" s="123">
        <f t="shared" si="2"/>
        <v>489015.2695662989</v>
      </c>
      <c r="F29" s="124">
        <v>453264</v>
      </c>
      <c r="G29" s="124">
        <v>1248650</v>
      </c>
      <c r="H29" s="124">
        <v>1603419</v>
      </c>
      <c r="I29" s="124">
        <v>502327</v>
      </c>
    </row>
    <row r="30" spans="1:9" ht="12.75">
      <c r="A30" s="121" t="s">
        <v>149</v>
      </c>
      <c r="B30" s="122">
        <f t="shared" si="0"/>
        <v>1597493</v>
      </c>
      <c r="C30" s="122">
        <f t="shared" si="1"/>
        <v>2070505.1844591007</v>
      </c>
      <c r="D30" s="123">
        <f t="shared" si="2"/>
        <v>473012.1844591007</v>
      </c>
      <c r="F30" s="124">
        <v>425451</v>
      </c>
      <c r="G30" s="124">
        <v>1172042</v>
      </c>
      <c r="H30" s="124">
        <v>1519678</v>
      </c>
      <c r="I30" s="124">
        <v>470326</v>
      </c>
    </row>
    <row r="31" spans="1:9" ht="12.75">
      <c r="A31" s="121" t="s">
        <v>150</v>
      </c>
      <c r="B31" s="122">
        <f t="shared" si="0"/>
        <v>1026019</v>
      </c>
      <c r="C31" s="122">
        <f t="shared" si="1"/>
        <v>1329830.7842080502</v>
      </c>
      <c r="D31" s="123">
        <f t="shared" si="2"/>
        <v>303811.78420805023</v>
      </c>
      <c r="F31" s="124">
        <v>273254</v>
      </c>
      <c r="G31" s="124">
        <v>752765</v>
      </c>
      <c r="H31" s="124">
        <v>977331</v>
      </c>
      <c r="I31" s="124">
        <v>300796</v>
      </c>
    </row>
    <row r="32" spans="1:9" ht="12.75">
      <c r="A32" s="121" t="s">
        <v>151</v>
      </c>
      <c r="B32" s="122">
        <f t="shared" si="0"/>
        <v>2371122</v>
      </c>
      <c r="C32" s="122">
        <f t="shared" si="1"/>
        <v>3044644.7020317283</v>
      </c>
      <c r="D32" s="123">
        <f t="shared" si="2"/>
        <v>673522.7020317283</v>
      </c>
      <c r="F32" s="124">
        <v>631491</v>
      </c>
      <c r="G32" s="124">
        <v>1739631</v>
      </c>
      <c r="H32" s="124">
        <v>2206899</v>
      </c>
      <c r="I32" s="124">
        <v>719370</v>
      </c>
    </row>
    <row r="33" spans="1:9" ht="12.75">
      <c r="A33" s="121" t="s">
        <v>152</v>
      </c>
      <c r="B33" s="122">
        <f t="shared" si="0"/>
        <v>1511460</v>
      </c>
      <c r="C33" s="122">
        <f t="shared" si="1"/>
        <v>1955019.0882230015</v>
      </c>
      <c r="D33" s="123">
        <f t="shared" si="2"/>
        <v>443559.08822300145</v>
      </c>
      <c r="F33" s="124">
        <v>402540</v>
      </c>
      <c r="G33" s="124">
        <v>1108920</v>
      </c>
      <c r="H33" s="124">
        <v>1429030</v>
      </c>
      <c r="I33" s="124">
        <v>449978</v>
      </c>
    </row>
    <row r="34" spans="1:9" ht="12.75">
      <c r="A34" s="121" t="s">
        <v>153</v>
      </c>
      <c r="B34" s="122">
        <f t="shared" si="0"/>
        <v>1635218</v>
      </c>
      <c r="C34" s="122">
        <f t="shared" si="1"/>
        <v>2117462.899109427</v>
      </c>
      <c r="D34" s="123">
        <f t="shared" si="2"/>
        <v>482244.8991094269</v>
      </c>
      <c r="F34" s="124">
        <v>435500</v>
      </c>
      <c r="G34" s="124">
        <v>1199718</v>
      </c>
      <c r="H34" s="124">
        <v>1550193</v>
      </c>
      <c r="I34" s="124">
        <v>484943</v>
      </c>
    </row>
    <row r="35" spans="1:9" ht="12.75">
      <c r="A35" s="121" t="s">
        <v>154</v>
      </c>
      <c r="B35" s="122">
        <f t="shared" si="0"/>
        <v>1780716</v>
      </c>
      <c r="C35" s="122">
        <f t="shared" si="1"/>
        <v>2286725.8374845134</v>
      </c>
      <c r="D35" s="123">
        <f t="shared" si="2"/>
        <v>506009.8374845134</v>
      </c>
      <c r="F35" s="124">
        <v>474253</v>
      </c>
      <c r="G35" s="124">
        <v>1306463</v>
      </c>
      <c r="H35" s="124">
        <v>1678795</v>
      </c>
      <c r="I35" s="124">
        <v>519023</v>
      </c>
    </row>
    <row r="36" spans="1:9" ht="12.75">
      <c r="A36" s="121" t="s">
        <v>155</v>
      </c>
      <c r="B36" s="122">
        <f t="shared" si="0"/>
        <v>1594173</v>
      </c>
      <c r="C36" s="122">
        <f t="shared" si="1"/>
        <v>2058769.91760762</v>
      </c>
      <c r="D36" s="123">
        <f t="shared" si="2"/>
        <v>464596.9176076199</v>
      </c>
      <c r="F36" s="124">
        <v>424571</v>
      </c>
      <c r="G36" s="124">
        <v>1169602</v>
      </c>
      <c r="H36" s="124">
        <v>1508023</v>
      </c>
      <c r="I36" s="124">
        <v>470702</v>
      </c>
    </row>
    <row r="37" spans="1:9" ht="13.5" thickBot="1">
      <c r="A37" s="125" t="s">
        <v>156</v>
      </c>
      <c r="B37" s="126">
        <f t="shared" si="0"/>
        <v>1719769</v>
      </c>
      <c r="C37" s="126">
        <f t="shared" si="1"/>
        <v>2221276.1556605576</v>
      </c>
      <c r="D37" s="127">
        <f t="shared" si="2"/>
        <v>501507.15566055756</v>
      </c>
      <c r="F37" s="124">
        <v>458016</v>
      </c>
      <c r="G37" s="124">
        <v>1261753</v>
      </c>
      <c r="H37" s="124">
        <v>1623519</v>
      </c>
      <c r="I37" s="124">
        <v>511394</v>
      </c>
    </row>
    <row r="38" spans="1:9" ht="13.5" thickBot="1">
      <c r="A38" s="128" t="s">
        <v>44</v>
      </c>
      <c r="B38" s="129">
        <f t="shared" si="0"/>
        <v>44368518</v>
      </c>
      <c r="C38" s="129">
        <f t="shared" si="1"/>
        <v>57089024.70582275</v>
      </c>
      <c r="D38" s="130">
        <f t="shared" si="2"/>
        <v>12720506.70582275</v>
      </c>
      <c r="F38" s="124">
        <v>11816431</v>
      </c>
      <c r="G38" s="124">
        <v>32552087</v>
      </c>
      <c r="H38" s="124">
        <v>41827624</v>
      </c>
      <c r="I38" s="124">
        <v>13041781</v>
      </c>
    </row>
    <row r="39" spans="1:9" ht="12.75">
      <c r="A39" s="131" t="s">
        <v>157</v>
      </c>
      <c r="B39" s="132">
        <f t="shared" si="0"/>
        <v>1893953</v>
      </c>
      <c r="C39" s="132">
        <f t="shared" si="1"/>
        <v>2259321.3518385207</v>
      </c>
      <c r="D39" s="133">
        <f t="shared" si="2"/>
        <v>365368.3518385207</v>
      </c>
      <c r="F39" s="124">
        <v>504406</v>
      </c>
      <c r="G39" s="124">
        <v>1389547</v>
      </c>
      <c r="H39" s="124">
        <v>1656836</v>
      </c>
      <c r="I39" s="124">
        <v>514643</v>
      </c>
    </row>
    <row r="40" spans="1:9" ht="12.75">
      <c r="A40" s="121" t="s">
        <v>158</v>
      </c>
      <c r="B40" s="122">
        <f t="shared" si="0"/>
        <v>2172892</v>
      </c>
      <c r="C40" s="122">
        <f t="shared" si="1"/>
        <v>2559823.881919009</v>
      </c>
      <c r="D40" s="123">
        <f t="shared" si="2"/>
        <v>386931.88191900915</v>
      </c>
      <c r="F40" s="124">
        <v>578694</v>
      </c>
      <c r="G40" s="124">
        <v>1594198</v>
      </c>
      <c r="H40" s="124">
        <v>1872168</v>
      </c>
      <c r="I40" s="124">
        <v>588130</v>
      </c>
    </row>
    <row r="41" spans="1:9" ht="12.75">
      <c r="A41" s="121" t="s">
        <v>159</v>
      </c>
      <c r="B41" s="122">
        <f t="shared" si="0"/>
        <v>2243944</v>
      </c>
      <c r="C41" s="122">
        <f t="shared" si="1"/>
        <v>2769996.3829621845</v>
      </c>
      <c r="D41" s="123">
        <f t="shared" si="2"/>
        <v>526052.3829621845</v>
      </c>
      <c r="F41" s="124">
        <v>597616</v>
      </c>
      <c r="G41" s="124">
        <v>1646328</v>
      </c>
      <c r="H41" s="124">
        <v>2037634</v>
      </c>
      <c r="I41" s="124">
        <v>624665</v>
      </c>
    </row>
    <row r="42" spans="1:9" ht="13.5" thickBot="1">
      <c r="A42" s="121" t="s">
        <v>160</v>
      </c>
      <c r="B42" s="126">
        <f t="shared" si="0"/>
        <v>2176493</v>
      </c>
      <c r="C42" s="126">
        <f t="shared" si="1"/>
        <v>2613033.6772955125</v>
      </c>
      <c r="D42" s="127">
        <f t="shared" si="2"/>
        <v>436540.6772955125</v>
      </c>
      <c r="F42" s="124">
        <v>579653</v>
      </c>
      <c r="G42" s="124">
        <v>1596840</v>
      </c>
      <c r="H42" s="124">
        <v>1914222</v>
      </c>
      <c r="I42" s="124">
        <v>597217</v>
      </c>
    </row>
    <row r="43" spans="1:9" ht="13.5" thickBot="1">
      <c r="A43" s="128" t="s">
        <v>161</v>
      </c>
      <c r="B43" s="129">
        <f>B38+B39+B40+B41+B42</f>
        <v>52855800</v>
      </c>
      <c r="C43" s="129">
        <f>SUM(C38:C42)</f>
        <v>67291199.99983798</v>
      </c>
      <c r="D43" s="130">
        <f>SUM(D38:D42)</f>
        <v>14435399.99983798</v>
      </c>
      <c r="G43" s="124">
        <v>6226913</v>
      </c>
      <c r="H43" s="124">
        <v>7480860</v>
      </c>
      <c r="I43" s="124">
        <v>2324655</v>
      </c>
    </row>
    <row r="44" spans="1:4" ht="12.75">
      <c r="A44" s="131" t="s">
        <v>162</v>
      </c>
      <c r="B44" s="134"/>
      <c r="C44" s="134"/>
      <c r="D44" s="135"/>
    </row>
    <row r="45" spans="1:9" ht="12.75">
      <c r="A45" s="121" t="s">
        <v>163</v>
      </c>
      <c r="B45" s="136">
        <f>2501705+908151</f>
        <v>3409856</v>
      </c>
      <c r="C45" s="136">
        <f aca="true" t="shared" si="3" ref="C45:C87">I45</f>
        <v>3972432.151</v>
      </c>
      <c r="D45" s="137">
        <f aca="true" t="shared" si="4" ref="D45:D78">C45-B45</f>
        <v>562576.1510000001</v>
      </c>
      <c r="G45" s="124"/>
      <c r="H45">
        <f>2913177+1300</f>
        <v>2914477</v>
      </c>
      <c r="I45" s="124">
        <f aca="true" t="shared" si="5" ref="I45:I85">H45*1.363</f>
        <v>3972432.151</v>
      </c>
    </row>
    <row r="46" spans="1:9" ht="12.75">
      <c r="A46" s="121" t="s">
        <v>164</v>
      </c>
      <c r="B46" s="136">
        <f>1067551+387540</f>
        <v>1455091</v>
      </c>
      <c r="C46" s="136">
        <f t="shared" si="3"/>
        <v>1688632.967</v>
      </c>
      <c r="D46" s="137">
        <f t="shared" si="4"/>
        <v>233541.96699999995</v>
      </c>
      <c r="H46">
        <f>1237909+1000</f>
        <v>1238909</v>
      </c>
      <c r="I46" s="124">
        <f t="shared" si="5"/>
        <v>1688632.967</v>
      </c>
    </row>
    <row r="47" spans="1:9" ht="12.75">
      <c r="A47" s="121" t="s">
        <v>165</v>
      </c>
      <c r="B47" s="136">
        <f>1358098+493014</f>
        <v>1851112</v>
      </c>
      <c r="C47" s="136">
        <f t="shared" si="3"/>
        <v>2151461.425</v>
      </c>
      <c r="D47" s="137">
        <f t="shared" si="4"/>
        <v>300349.4249999998</v>
      </c>
      <c r="H47">
        <f>1577875+600</f>
        <v>1578475</v>
      </c>
      <c r="I47" s="124">
        <f t="shared" si="5"/>
        <v>2151461.425</v>
      </c>
    </row>
    <row r="48" spans="1:9" ht="12.75">
      <c r="A48" s="121" t="s">
        <v>166</v>
      </c>
      <c r="B48" s="136">
        <f>2062507+748721</f>
        <v>2811228</v>
      </c>
      <c r="C48" s="136">
        <f t="shared" si="3"/>
        <v>3280146.732</v>
      </c>
      <c r="D48" s="137">
        <f t="shared" si="4"/>
        <v>468918.73199999984</v>
      </c>
      <c r="H48">
        <f>2405364+1200</f>
        <v>2406564</v>
      </c>
      <c r="I48" s="124">
        <f t="shared" si="5"/>
        <v>3280146.732</v>
      </c>
    </row>
    <row r="49" spans="1:9" ht="12.75">
      <c r="A49" s="121" t="s">
        <v>167</v>
      </c>
      <c r="B49" s="136">
        <f>3259856+1183388</f>
        <v>4443244</v>
      </c>
      <c r="C49" s="136">
        <f t="shared" si="3"/>
        <v>5182322.272</v>
      </c>
      <c r="D49" s="137">
        <f t="shared" si="4"/>
        <v>739078.2719999999</v>
      </c>
      <c r="H49">
        <f>3800944+1200</f>
        <v>3802144</v>
      </c>
      <c r="I49" s="124">
        <f t="shared" si="5"/>
        <v>5182322.272</v>
      </c>
    </row>
    <row r="50" spans="1:9" ht="12.75">
      <c r="A50" s="121" t="s">
        <v>168</v>
      </c>
      <c r="B50" s="136">
        <f>930764+337884</f>
        <v>1268648</v>
      </c>
      <c r="C50" s="136">
        <f t="shared" si="3"/>
        <v>1483517.823</v>
      </c>
      <c r="D50" s="137">
        <f t="shared" si="4"/>
        <v>214869.8230000001</v>
      </c>
      <c r="H50">
        <f>1087621+800</f>
        <v>1088421</v>
      </c>
      <c r="I50" s="124">
        <f t="shared" si="5"/>
        <v>1483517.823</v>
      </c>
    </row>
    <row r="51" spans="1:9" ht="12.75">
      <c r="A51" s="121" t="s">
        <v>169</v>
      </c>
      <c r="B51" s="136">
        <f>3338669+1211996</f>
        <v>4550665</v>
      </c>
      <c r="C51" s="136">
        <f t="shared" si="3"/>
        <v>5308158.521</v>
      </c>
      <c r="D51" s="137">
        <f t="shared" si="4"/>
        <v>757493.5209999997</v>
      </c>
      <c r="H51">
        <f>3893167+1300</f>
        <v>3894467</v>
      </c>
      <c r="I51" s="124">
        <f t="shared" si="5"/>
        <v>5308158.521</v>
      </c>
    </row>
    <row r="52" spans="1:9" ht="12.75">
      <c r="A52" s="121" t="s">
        <v>170</v>
      </c>
      <c r="B52" s="136">
        <f>2432008+882844</f>
        <v>3314852</v>
      </c>
      <c r="C52" s="136">
        <f t="shared" si="3"/>
        <v>3868027.714</v>
      </c>
      <c r="D52" s="137">
        <f t="shared" si="4"/>
        <v>553175.7140000002</v>
      </c>
      <c r="H52">
        <f>2836878+1000</f>
        <v>2837878</v>
      </c>
      <c r="I52" s="124">
        <f t="shared" si="5"/>
        <v>3868027.714</v>
      </c>
    </row>
    <row r="53" spans="1:9" ht="12.75">
      <c r="A53" s="121" t="s">
        <v>171</v>
      </c>
      <c r="B53" s="136">
        <f>1437024+521663</f>
        <v>1958687</v>
      </c>
      <c r="C53" s="136">
        <f t="shared" si="3"/>
        <v>2286701.011</v>
      </c>
      <c r="D53" s="137">
        <f t="shared" si="4"/>
        <v>328014.01099999994</v>
      </c>
      <c r="H53">
        <f>1676797+900</f>
        <v>1677697</v>
      </c>
      <c r="I53" s="124">
        <f t="shared" si="5"/>
        <v>2286701.011</v>
      </c>
    </row>
    <row r="54" spans="1:9" ht="12.75">
      <c r="A54" s="121" t="s">
        <v>40</v>
      </c>
      <c r="B54" s="136">
        <f>5913455+2146648</f>
        <v>8060103</v>
      </c>
      <c r="C54" s="136">
        <f t="shared" si="3"/>
        <v>9406992.566</v>
      </c>
      <c r="D54" s="137">
        <f t="shared" si="4"/>
        <v>1346889.5659999996</v>
      </c>
      <c r="H54">
        <f>6900682+1000</f>
        <v>6901682</v>
      </c>
      <c r="I54" s="124">
        <f t="shared" si="5"/>
        <v>9406992.566</v>
      </c>
    </row>
    <row r="55" spans="1:9" ht="12.75">
      <c r="A55" s="121" t="s">
        <v>172</v>
      </c>
      <c r="B55" s="136">
        <f>671161+243651</f>
        <v>914812</v>
      </c>
      <c r="C55" s="136">
        <f t="shared" si="3"/>
        <v>1063870.568</v>
      </c>
      <c r="D55" s="137">
        <f t="shared" si="4"/>
        <v>149058.56799999997</v>
      </c>
      <c r="H55">
        <f>779936+600</f>
        <v>780536</v>
      </c>
      <c r="I55" s="124">
        <f t="shared" si="5"/>
        <v>1063870.568</v>
      </c>
    </row>
    <row r="56" spans="1:9" ht="12.75">
      <c r="A56" s="121" t="s">
        <v>173</v>
      </c>
      <c r="B56" s="136">
        <f>1498605+544018</f>
        <v>2042623</v>
      </c>
      <c r="C56" s="136">
        <f t="shared" si="3"/>
        <v>2375568.611</v>
      </c>
      <c r="D56" s="137">
        <f t="shared" si="4"/>
        <v>332945.61100000003</v>
      </c>
      <c r="H56">
        <f>1742097+800</f>
        <v>1742897</v>
      </c>
      <c r="I56" s="124">
        <f t="shared" si="5"/>
        <v>2375568.611</v>
      </c>
    </row>
    <row r="57" spans="1:9" ht="12.75">
      <c r="A57" s="121" t="s">
        <v>174</v>
      </c>
      <c r="B57" s="136">
        <f>2316495+840918</f>
        <v>3157413</v>
      </c>
      <c r="C57" s="136">
        <f t="shared" si="3"/>
        <v>3699451.874</v>
      </c>
      <c r="D57" s="137">
        <f t="shared" si="4"/>
        <v>542038.8739999998</v>
      </c>
      <c r="H57">
        <f>2713198+1000</f>
        <v>2714198</v>
      </c>
      <c r="I57" s="124">
        <f t="shared" si="5"/>
        <v>3699451.874</v>
      </c>
    </row>
    <row r="58" spans="1:9" ht="12.75">
      <c r="A58" s="121" t="s">
        <v>175</v>
      </c>
      <c r="B58" s="136">
        <f>1131969+410933</f>
        <v>1542902</v>
      </c>
      <c r="C58" s="136">
        <f t="shared" si="3"/>
        <v>1800287.201</v>
      </c>
      <c r="D58" s="137">
        <f t="shared" si="4"/>
        <v>257385.20099999988</v>
      </c>
      <c r="H58">
        <f>1319927+1000-100</f>
        <v>1320827</v>
      </c>
      <c r="I58" s="124">
        <f t="shared" si="5"/>
        <v>1800287.201</v>
      </c>
    </row>
    <row r="59" spans="1:9" ht="12.75">
      <c r="A59" s="121" t="s">
        <v>176</v>
      </c>
      <c r="B59" s="136">
        <f>2905651+1054782</f>
        <v>3960433</v>
      </c>
      <c r="C59" s="136">
        <f t="shared" si="3"/>
        <v>4610999.0139999995</v>
      </c>
      <c r="D59" s="137">
        <f t="shared" si="4"/>
        <v>650566.0139999995</v>
      </c>
      <c r="H59">
        <f>3382178+1200-400</f>
        <v>3382978</v>
      </c>
      <c r="I59" s="124">
        <f t="shared" si="5"/>
        <v>4610999.0139999995</v>
      </c>
    </row>
    <row r="60" spans="1:9" ht="12.75">
      <c r="A60" s="121" t="s">
        <v>177</v>
      </c>
      <c r="B60" s="136">
        <f>4177662+1516536</f>
        <v>5694198</v>
      </c>
      <c r="C60" s="136">
        <f t="shared" si="3"/>
        <v>6647455.951</v>
      </c>
      <c r="D60" s="137">
        <f t="shared" si="4"/>
        <v>953257.9510000004</v>
      </c>
      <c r="H60">
        <f>4876177+1100-200</f>
        <v>4877077</v>
      </c>
      <c r="I60" s="124">
        <f t="shared" si="5"/>
        <v>6647455.951</v>
      </c>
    </row>
    <row r="61" spans="1:9" ht="12.75">
      <c r="A61" s="121" t="s">
        <v>178</v>
      </c>
      <c r="B61" s="136">
        <f>1999585+725871</f>
        <v>2725456</v>
      </c>
      <c r="C61" s="136">
        <f t="shared" si="3"/>
        <v>3178306.0979999998</v>
      </c>
      <c r="D61" s="137">
        <f t="shared" si="4"/>
        <v>452850.09799999977</v>
      </c>
      <c r="H61">
        <f>2330846+1000</f>
        <v>2331846</v>
      </c>
      <c r="I61" s="124">
        <f t="shared" si="5"/>
        <v>3178306.0979999998</v>
      </c>
    </row>
    <row r="62" spans="1:9" ht="12.75">
      <c r="A62" s="121" t="s">
        <v>179</v>
      </c>
      <c r="B62" s="136">
        <f>2441549+886328</f>
        <v>3327877</v>
      </c>
      <c r="C62" s="136">
        <f t="shared" si="3"/>
        <v>3872881.357</v>
      </c>
      <c r="D62" s="137">
        <f t="shared" si="4"/>
        <v>545004.3569999998</v>
      </c>
      <c r="H62">
        <f>2840631+1000-192</f>
        <v>2841439</v>
      </c>
      <c r="I62" s="124">
        <f t="shared" si="5"/>
        <v>3872881.357</v>
      </c>
    </row>
    <row r="63" spans="1:9" ht="12.75">
      <c r="A63" s="121" t="s">
        <v>180</v>
      </c>
      <c r="B63" s="136">
        <f>1285182+466545</f>
        <v>1751727</v>
      </c>
      <c r="C63" s="136">
        <f t="shared" si="3"/>
        <v>2039640.905</v>
      </c>
      <c r="D63" s="137">
        <f t="shared" si="4"/>
        <v>287913.905</v>
      </c>
      <c r="H63">
        <f>1495835+600</f>
        <v>1496435</v>
      </c>
      <c r="I63" s="124">
        <f t="shared" si="5"/>
        <v>2039640.905</v>
      </c>
    </row>
    <row r="64" spans="1:9" ht="12.75">
      <c r="A64" s="121" t="s">
        <v>181</v>
      </c>
      <c r="B64" s="136">
        <f>1511546+548708</f>
        <v>2060254</v>
      </c>
      <c r="C64" s="136">
        <f t="shared" si="3"/>
        <v>2410173.818</v>
      </c>
      <c r="D64" s="137">
        <f t="shared" si="4"/>
        <v>349919.81799999997</v>
      </c>
      <c r="H64">
        <f>1767786+500</f>
        <v>1768286</v>
      </c>
      <c r="I64" s="124">
        <f t="shared" si="5"/>
        <v>2410173.818</v>
      </c>
    </row>
    <row r="65" spans="1:9" ht="12.75">
      <c r="A65" s="121" t="s">
        <v>182</v>
      </c>
      <c r="B65" s="136">
        <f>1174931+426515</f>
        <v>1601446</v>
      </c>
      <c r="C65" s="136">
        <f t="shared" si="3"/>
        <v>1866321.825</v>
      </c>
      <c r="D65" s="137">
        <f t="shared" si="4"/>
        <v>264875.82499999995</v>
      </c>
      <c r="H65">
        <f>1368775+500</f>
        <v>1369275</v>
      </c>
      <c r="I65" s="124">
        <f t="shared" si="5"/>
        <v>1866321.825</v>
      </c>
    </row>
    <row r="66" spans="1:9" ht="12.75">
      <c r="A66" s="121" t="s">
        <v>183</v>
      </c>
      <c r="B66" s="136">
        <f>1505785+546623</f>
        <v>2052408</v>
      </c>
      <c r="C66" s="136">
        <f t="shared" si="3"/>
        <v>2400024.92</v>
      </c>
      <c r="D66" s="137">
        <f t="shared" si="4"/>
        <v>347616.9199999999</v>
      </c>
      <c r="H66">
        <f>1760440+400</f>
        <v>1760840</v>
      </c>
      <c r="I66" s="124">
        <f t="shared" si="5"/>
        <v>2400024.92</v>
      </c>
    </row>
    <row r="67" spans="1:9" ht="12.75">
      <c r="A67" s="121" t="s">
        <v>184</v>
      </c>
      <c r="B67" s="136">
        <f>3028764+1099480</f>
        <v>4128244</v>
      </c>
      <c r="C67" s="136">
        <f t="shared" si="3"/>
        <v>4807596.771</v>
      </c>
      <c r="D67" s="137">
        <f t="shared" si="4"/>
        <v>679352.7709999997</v>
      </c>
      <c r="H67">
        <f>3526417+800</f>
        <v>3527217</v>
      </c>
      <c r="I67" s="124">
        <f t="shared" si="5"/>
        <v>4807596.771</v>
      </c>
    </row>
    <row r="68" spans="1:9" ht="12.75">
      <c r="A68" s="121" t="s">
        <v>185</v>
      </c>
      <c r="B68" s="136">
        <f>1729345+627767</f>
        <v>2357112</v>
      </c>
      <c r="C68" s="136">
        <f t="shared" si="3"/>
        <v>2750509.466</v>
      </c>
      <c r="D68" s="137">
        <f t="shared" si="4"/>
        <v>393397.466</v>
      </c>
      <c r="H68">
        <f>2017082+900</f>
        <v>2017982</v>
      </c>
      <c r="I68" s="124">
        <f t="shared" si="5"/>
        <v>2750509.466</v>
      </c>
    </row>
    <row r="69" spans="1:9" ht="12.75">
      <c r="A69" s="121" t="s">
        <v>186</v>
      </c>
      <c r="B69" s="136">
        <f>984434+357364</f>
        <v>1341798</v>
      </c>
      <c r="C69" s="136">
        <f t="shared" si="3"/>
        <v>1560865.347</v>
      </c>
      <c r="D69" s="137">
        <f t="shared" si="4"/>
        <v>219067.34700000007</v>
      </c>
      <c r="H69">
        <f>1144669+500</f>
        <v>1145169</v>
      </c>
      <c r="I69" s="124">
        <f t="shared" si="5"/>
        <v>1560865.347</v>
      </c>
    </row>
    <row r="70" spans="1:9" ht="12.75">
      <c r="A70" s="121" t="s">
        <v>187</v>
      </c>
      <c r="B70" s="136">
        <f>2796462+1015152</f>
        <v>3811614</v>
      </c>
      <c r="C70" s="136">
        <f t="shared" si="3"/>
        <v>4431734.528</v>
      </c>
      <c r="D70" s="137">
        <f t="shared" si="4"/>
        <v>620120.5279999999</v>
      </c>
      <c r="H70">
        <f>3250656+800</f>
        <v>3251456</v>
      </c>
      <c r="I70" s="124">
        <f t="shared" si="5"/>
        <v>4431734.528</v>
      </c>
    </row>
    <row r="71" spans="1:9" ht="12.75">
      <c r="A71" s="121" t="s">
        <v>188</v>
      </c>
      <c r="B71" s="136">
        <f>1200853+435927</f>
        <v>1636780</v>
      </c>
      <c r="C71" s="136">
        <f t="shared" si="3"/>
        <v>1906477.168</v>
      </c>
      <c r="D71" s="137">
        <f t="shared" si="4"/>
        <v>269697.16800000006</v>
      </c>
      <c r="H71">
        <f>1397936+800</f>
        <v>1398736</v>
      </c>
      <c r="I71" s="124">
        <f t="shared" si="5"/>
        <v>1906477.168</v>
      </c>
    </row>
    <row r="72" spans="1:9" ht="12.75">
      <c r="A72" s="121" t="s">
        <v>189</v>
      </c>
      <c r="B72" s="136">
        <f>2563302+930502</f>
        <v>3493804</v>
      </c>
      <c r="C72" s="136">
        <f t="shared" si="3"/>
        <v>4066098.874</v>
      </c>
      <c r="D72" s="137">
        <f t="shared" si="4"/>
        <v>572294.8739999998</v>
      </c>
      <c r="H72">
        <f>2982698+500</f>
        <v>2983198</v>
      </c>
      <c r="I72" s="124">
        <f t="shared" si="5"/>
        <v>4066098.874</v>
      </c>
    </row>
    <row r="73" spans="1:9" ht="12.75">
      <c r="A73" s="121" t="s">
        <v>190</v>
      </c>
      <c r="B73" s="136">
        <f>2608033+946738</f>
        <v>3554771</v>
      </c>
      <c r="C73" s="136">
        <f t="shared" si="3"/>
        <v>4157159.5409999997</v>
      </c>
      <c r="D73" s="137">
        <f t="shared" si="4"/>
        <v>602388.5409999997</v>
      </c>
      <c r="H73">
        <f>3049207+800</f>
        <v>3050007</v>
      </c>
      <c r="I73" s="124">
        <f t="shared" si="5"/>
        <v>4157159.5409999997</v>
      </c>
    </row>
    <row r="74" spans="1:9" ht="12.75">
      <c r="A74" s="121" t="s">
        <v>191</v>
      </c>
      <c r="B74" s="136">
        <f>921198+334405</f>
        <v>1255603</v>
      </c>
      <c r="C74" s="136">
        <f t="shared" si="3"/>
        <v>1456530.423</v>
      </c>
      <c r="D74" s="137">
        <f t="shared" si="4"/>
        <v>200927.42299999995</v>
      </c>
      <c r="H74">
        <f>1068221+400</f>
        <v>1068621</v>
      </c>
      <c r="I74" s="124">
        <f t="shared" si="5"/>
        <v>1456530.423</v>
      </c>
    </row>
    <row r="75" spans="1:9" ht="12.75">
      <c r="A75" s="121" t="s">
        <v>192</v>
      </c>
      <c r="B75" s="136">
        <f>1181699+428967</f>
        <v>1610666</v>
      </c>
      <c r="C75" s="136">
        <f t="shared" si="3"/>
        <v>1878079.063</v>
      </c>
      <c r="D75" s="137">
        <f t="shared" si="4"/>
        <v>267413.0630000001</v>
      </c>
      <c r="H75">
        <f>1377501+400</f>
        <v>1377901</v>
      </c>
      <c r="I75" s="124">
        <f t="shared" si="5"/>
        <v>1878079.063</v>
      </c>
    </row>
    <row r="76" spans="1:9" ht="12.75">
      <c r="A76" s="121" t="s">
        <v>193</v>
      </c>
      <c r="B76" s="138">
        <f>1308021+474824</f>
        <v>1782845</v>
      </c>
      <c r="C76" s="136">
        <f t="shared" si="3"/>
        <v>2074863.551</v>
      </c>
      <c r="D76" s="137">
        <f t="shared" si="4"/>
        <v>292018.551</v>
      </c>
      <c r="H76">
        <f>1522077+200</f>
        <v>1522277</v>
      </c>
      <c r="I76" s="124">
        <f t="shared" si="5"/>
        <v>2074863.551</v>
      </c>
    </row>
    <row r="77" spans="1:9" ht="12.75">
      <c r="A77" s="121" t="s">
        <v>194</v>
      </c>
      <c r="B77" s="136">
        <f>141575+51399</f>
        <v>192974</v>
      </c>
      <c r="C77" s="136">
        <f t="shared" si="3"/>
        <v>226660.085</v>
      </c>
      <c r="D77" s="137">
        <f t="shared" si="4"/>
        <v>33686.08499999999</v>
      </c>
      <c r="H77">
        <v>166295</v>
      </c>
      <c r="I77" s="124">
        <f t="shared" si="5"/>
        <v>226660.085</v>
      </c>
    </row>
    <row r="78" spans="1:9" ht="13.5" thickBot="1">
      <c r="A78" s="125" t="s">
        <v>195</v>
      </c>
      <c r="B78" s="139">
        <f>972252+352946</f>
        <v>1325198</v>
      </c>
      <c r="C78" s="139">
        <f t="shared" si="3"/>
        <v>1510426.169</v>
      </c>
      <c r="D78" s="140">
        <f t="shared" si="4"/>
        <v>185228.169</v>
      </c>
      <c r="H78">
        <v>1108163</v>
      </c>
      <c r="I78" s="124">
        <f t="shared" si="5"/>
        <v>1510426.169</v>
      </c>
    </row>
    <row r="79" spans="1:9" ht="13.5" thickBot="1">
      <c r="A79" s="128" t="s">
        <v>44</v>
      </c>
      <c r="B79" s="141">
        <f>SUM(B45:B78)</f>
        <v>90446444</v>
      </c>
      <c r="C79" s="141">
        <f t="shared" si="3"/>
        <v>105420376.31</v>
      </c>
      <c r="D79" s="142">
        <f>SUM(D45:D78)</f>
        <v>14973932.309999991</v>
      </c>
      <c r="H79">
        <f>H45+H46+H47+H48+H49+H50++H51+H52+H53+H54+H55+H56+H57+H58+H59+H60+H61+H62+H63+H64+H65+H66+H67+H68+H69+H70+H71+H72+H73+H74+H75+H76+H77+H78</f>
        <v>77344370</v>
      </c>
      <c r="I79" s="143">
        <f t="shared" si="5"/>
        <v>105420376.31</v>
      </c>
    </row>
    <row r="80" spans="1:9" ht="12.75">
      <c r="A80" s="131" t="s">
        <v>196</v>
      </c>
      <c r="B80" s="134">
        <f>3125638+1134607</f>
        <v>4260245</v>
      </c>
      <c r="C80" s="134">
        <f t="shared" si="3"/>
        <v>4925543.976</v>
      </c>
      <c r="D80" s="135">
        <f aca="true" t="shared" si="6" ref="D80:D85">C80-B80</f>
        <v>665298.9759999998</v>
      </c>
      <c r="H80">
        <v>3613752</v>
      </c>
      <c r="I80" s="124">
        <f t="shared" si="5"/>
        <v>4925543.976</v>
      </c>
    </row>
    <row r="81" spans="1:9" ht="12.75">
      <c r="A81" s="121">
        <v>17</v>
      </c>
      <c r="B81" s="136">
        <f>795242+2190749</f>
        <v>2985991</v>
      </c>
      <c r="C81" s="136">
        <f t="shared" si="3"/>
        <v>3434481.948</v>
      </c>
      <c r="D81" s="137">
        <f t="shared" si="6"/>
        <v>448490.94799999986</v>
      </c>
      <c r="H81">
        <v>2519796</v>
      </c>
      <c r="I81" s="124">
        <f t="shared" si="5"/>
        <v>3434481.948</v>
      </c>
    </row>
    <row r="82" spans="1:9" ht="12.75">
      <c r="A82" s="121">
        <v>25</v>
      </c>
      <c r="B82" s="136">
        <f>3048241+1106511</f>
        <v>4154752</v>
      </c>
      <c r="C82" s="136">
        <f t="shared" si="3"/>
        <v>4798008.066</v>
      </c>
      <c r="D82" s="137">
        <f t="shared" si="6"/>
        <v>643256.0659999996</v>
      </c>
      <c r="H82">
        <v>3520182</v>
      </c>
      <c r="I82" s="124">
        <f t="shared" si="5"/>
        <v>4798008.066</v>
      </c>
    </row>
    <row r="83" spans="1:9" ht="12.75">
      <c r="A83" s="144" t="s">
        <v>197</v>
      </c>
      <c r="B83" s="138">
        <f>2850905+1034879</f>
        <v>3885784</v>
      </c>
      <c r="C83" s="136">
        <f t="shared" si="3"/>
        <v>4587736.693</v>
      </c>
      <c r="D83" s="137">
        <f t="shared" si="6"/>
        <v>701952.693</v>
      </c>
      <c r="H83">
        <v>3365911</v>
      </c>
      <c r="I83" s="124">
        <f t="shared" si="5"/>
        <v>4587736.693</v>
      </c>
    </row>
    <row r="84" spans="1:9" ht="12.75">
      <c r="A84" s="144" t="s">
        <v>198</v>
      </c>
      <c r="B84" s="138">
        <f>279850+101586</f>
        <v>381436</v>
      </c>
      <c r="C84" s="136">
        <f t="shared" si="3"/>
        <v>462321.422</v>
      </c>
      <c r="D84" s="137">
        <f t="shared" si="6"/>
        <v>80885.42200000002</v>
      </c>
      <c r="H84">
        <v>339194</v>
      </c>
      <c r="I84" s="124">
        <f t="shared" si="5"/>
        <v>462321.422</v>
      </c>
    </row>
    <row r="85" spans="1:9" ht="13.5" thickBot="1">
      <c r="A85" s="145" t="s">
        <v>199</v>
      </c>
      <c r="B85" s="146">
        <f>2254621+818427</f>
        <v>3073048</v>
      </c>
      <c r="C85" s="139">
        <f t="shared" si="3"/>
        <v>3715531.185</v>
      </c>
      <c r="D85" s="140">
        <f t="shared" si="6"/>
        <v>642483.185</v>
      </c>
      <c r="H85">
        <v>2725995</v>
      </c>
      <c r="I85" s="124">
        <f t="shared" si="5"/>
        <v>3715531.185</v>
      </c>
    </row>
    <row r="86" spans="1:9" ht="13.5" thickBot="1">
      <c r="A86" s="128" t="s">
        <v>44</v>
      </c>
      <c r="B86" s="141">
        <f>B80+B81+B82+B83+B84+B85</f>
        <v>18741256</v>
      </c>
      <c r="C86" s="141">
        <f t="shared" si="3"/>
        <v>21923623.289999995</v>
      </c>
      <c r="D86" s="142">
        <f>SUM(D80:D85)</f>
        <v>3182367.2899999996</v>
      </c>
      <c r="H86">
        <f>H80+H81+H82+H83+H84+H85</f>
        <v>16084830</v>
      </c>
      <c r="I86" s="143">
        <f>I80+I81+I82+I83+I84+I85</f>
        <v>21923623.289999995</v>
      </c>
    </row>
    <row r="87" spans="1:9" ht="13.5" thickBot="1">
      <c r="A87" s="128">
        <v>70201</v>
      </c>
      <c r="B87" s="141">
        <f>B86+B79</f>
        <v>109187700</v>
      </c>
      <c r="C87" s="141">
        <f t="shared" si="3"/>
        <v>127343999.6</v>
      </c>
      <c r="D87" s="142">
        <f>D86+D79</f>
        <v>18156299.59999999</v>
      </c>
      <c r="H87">
        <f>H86+H79</f>
        <v>93429200</v>
      </c>
      <c r="I87" s="124">
        <f>I86+I79</f>
        <v>127343999.6</v>
      </c>
    </row>
    <row r="88" spans="1:9" ht="13.5" thickBot="1">
      <c r="A88" s="128">
        <v>70202</v>
      </c>
      <c r="B88" s="141">
        <f>526100+190900</f>
        <v>717000</v>
      </c>
      <c r="C88" s="141">
        <v>963800</v>
      </c>
      <c r="D88" s="142">
        <f aca="true" t="shared" si="7" ref="D88:D93">C88-B88</f>
        <v>246800</v>
      </c>
      <c r="I88" s="124"/>
    </row>
    <row r="89" spans="1:9" ht="13.5" thickBot="1">
      <c r="A89" s="128">
        <v>70301</v>
      </c>
      <c r="B89" s="141">
        <f>3434400+1246700</f>
        <v>4681100</v>
      </c>
      <c r="C89" s="141">
        <v>5607100</v>
      </c>
      <c r="D89" s="142">
        <f t="shared" si="7"/>
        <v>926000</v>
      </c>
      <c r="I89" s="124"/>
    </row>
    <row r="90" spans="1:9" ht="13.5" thickBot="1">
      <c r="A90" s="128">
        <v>70303</v>
      </c>
      <c r="B90" s="141">
        <f>1515300+550100</f>
        <v>2065400</v>
      </c>
      <c r="C90" s="141">
        <v>2300500</v>
      </c>
      <c r="D90" s="142">
        <f t="shared" si="7"/>
        <v>235100</v>
      </c>
      <c r="I90" s="124"/>
    </row>
    <row r="91" spans="1:9" ht="12.75">
      <c r="A91" s="131" t="s">
        <v>200</v>
      </c>
      <c r="B91" s="134">
        <f>2741784+995099</f>
        <v>3736883</v>
      </c>
      <c r="C91" s="147">
        <f>B91*1.15662591326</f>
        <v>4322175.712620769</v>
      </c>
      <c r="D91" s="135">
        <f t="shared" si="7"/>
        <v>585292.7126207687</v>
      </c>
      <c r="I91" s="124"/>
    </row>
    <row r="92" spans="1:4" ht="12.75">
      <c r="A92" s="121" t="s">
        <v>201</v>
      </c>
      <c r="B92" s="136">
        <f>1634706+593299</f>
        <v>2228005</v>
      </c>
      <c r="C92" s="138">
        <f>B92*1.15662591326</f>
        <v>2576968.3178728465</v>
      </c>
      <c r="D92" s="137">
        <f t="shared" si="7"/>
        <v>348963.3178728465</v>
      </c>
    </row>
    <row r="93" spans="1:4" ht="13.5" thickBot="1">
      <c r="A93" s="125" t="s">
        <v>202</v>
      </c>
      <c r="B93" s="139">
        <f>1588710+576602</f>
        <v>2165312</v>
      </c>
      <c r="C93" s="146">
        <f>B93*1.15662591326</f>
        <v>2504455.9694928373</v>
      </c>
      <c r="D93" s="140">
        <f t="shared" si="7"/>
        <v>339143.9694928373</v>
      </c>
    </row>
    <row r="94" spans="1:4" ht="13.5" thickBot="1">
      <c r="A94" s="128" t="s">
        <v>203</v>
      </c>
      <c r="B94" s="141">
        <f>B91+B92+B93</f>
        <v>8130200</v>
      </c>
      <c r="C94" s="141">
        <f>C91+C92+C93</f>
        <v>9403599.999986453</v>
      </c>
      <c r="D94" s="142">
        <f>D91+D92+D93</f>
        <v>1273399.9999864525</v>
      </c>
    </row>
    <row r="95" spans="1:8" ht="12.75">
      <c r="A95" s="148" t="s">
        <v>204</v>
      </c>
      <c r="B95" s="134">
        <f>140426+47651</f>
        <v>188077</v>
      </c>
      <c r="C95" s="134">
        <f aca="true" t="shared" si="8" ref="C95:C113">H95*1.363*1.03123562007</f>
        <v>280932.10539156175</v>
      </c>
      <c r="D95" s="135">
        <f aca="true" t="shared" si="9" ref="D95:D113">C95-B95</f>
        <v>92855.10539156175</v>
      </c>
      <c r="H95">
        <v>199870</v>
      </c>
    </row>
    <row r="96" spans="1:8" ht="12.75">
      <c r="A96" s="149" t="s">
        <v>205</v>
      </c>
      <c r="B96" s="136">
        <f>24008+8114</f>
        <v>32122</v>
      </c>
      <c r="C96" s="136">
        <f t="shared" si="8"/>
        <v>45104.8744784871</v>
      </c>
      <c r="D96" s="137">
        <f t="shared" si="9"/>
        <v>12982.874478487101</v>
      </c>
      <c r="H96">
        <v>32090</v>
      </c>
    </row>
    <row r="97" spans="1:8" ht="12.75">
      <c r="A97" s="149" t="s">
        <v>206</v>
      </c>
      <c r="B97" s="136">
        <f>154412+52398</f>
        <v>206810</v>
      </c>
      <c r="C97" s="136">
        <f t="shared" si="8"/>
        <v>309390.76520975836</v>
      </c>
      <c r="D97" s="137">
        <f t="shared" si="9"/>
        <v>102580.76520975836</v>
      </c>
      <c r="H97">
        <v>220117</v>
      </c>
    </row>
    <row r="98" spans="1:8" ht="12.75">
      <c r="A98" s="149" t="s">
        <v>207</v>
      </c>
      <c r="B98" s="136">
        <f>209358+71028</f>
        <v>280386</v>
      </c>
      <c r="C98" s="136">
        <f t="shared" si="8"/>
        <v>417967.15158681327</v>
      </c>
      <c r="D98" s="137">
        <f t="shared" si="9"/>
        <v>137581.15158681327</v>
      </c>
      <c r="H98">
        <v>297364</v>
      </c>
    </row>
    <row r="99" spans="1:8" ht="12.75">
      <c r="A99" s="149" t="s">
        <v>208</v>
      </c>
      <c r="B99" s="136">
        <f>124816+42328</f>
        <v>167144</v>
      </c>
      <c r="C99" s="136">
        <f t="shared" si="8"/>
        <v>247359.9668150998</v>
      </c>
      <c r="D99" s="137">
        <f t="shared" si="9"/>
        <v>80215.96681509979</v>
      </c>
      <c r="H99">
        <v>175985</v>
      </c>
    </row>
    <row r="100" spans="1:8" ht="12.75">
      <c r="A100" s="149" t="s">
        <v>209</v>
      </c>
      <c r="B100" s="136">
        <f>69064+23455</f>
        <v>92519</v>
      </c>
      <c r="C100" s="136">
        <f t="shared" si="8"/>
        <v>140460.43039918027</v>
      </c>
      <c r="D100" s="137">
        <f t="shared" si="9"/>
        <v>47941.43039918027</v>
      </c>
      <c r="H100">
        <v>99931</v>
      </c>
    </row>
    <row r="101" spans="1:8" ht="12.75">
      <c r="A101" s="149" t="s">
        <v>210</v>
      </c>
      <c r="B101" s="136">
        <f>126497+42902</f>
        <v>169399</v>
      </c>
      <c r="C101" s="136">
        <f t="shared" si="8"/>
        <v>251214.05113482595</v>
      </c>
      <c r="D101" s="137">
        <f t="shared" si="9"/>
        <v>81815.05113482595</v>
      </c>
      <c r="H101">
        <v>178727</v>
      </c>
    </row>
    <row r="102" spans="1:8" ht="12.75">
      <c r="A102" s="149" t="s">
        <v>211</v>
      </c>
      <c r="B102" s="136">
        <f>246115+83450</f>
        <v>329565</v>
      </c>
      <c r="C102" s="136">
        <f t="shared" si="8"/>
        <v>486549.3310953462</v>
      </c>
      <c r="D102" s="137">
        <f t="shared" si="9"/>
        <v>156984.3310953462</v>
      </c>
      <c r="H102">
        <v>346157</v>
      </c>
    </row>
    <row r="103" spans="1:8" ht="12.75">
      <c r="A103" s="149" t="s">
        <v>212</v>
      </c>
      <c r="B103" s="136">
        <f>69518+23588</f>
        <v>93106</v>
      </c>
      <c r="C103" s="136">
        <f t="shared" si="8"/>
        <v>139227.74186949394</v>
      </c>
      <c r="D103" s="137">
        <f t="shared" si="9"/>
        <v>46121.74186949394</v>
      </c>
      <c r="H103">
        <v>99054</v>
      </c>
    </row>
    <row r="104" spans="1:8" ht="12.75">
      <c r="A104" s="149" t="s">
        <v>213</v>
      </c>
      <c r="B104" s="136">
        <f>119581+40557</f>
        <v>160138</v>
      </c>
      <c r="C104" s="136">
        <f t="shared" si="8"/>
        <v>237526.57006061258</v>
      </c>
      <c r="D104" s="137">
        <f t="shared" si="9"/>
        <v>77388.57006061258</v>
      </c>
      <c r="H104">
        <v>168989</v>
      </c>
    </row>
    <row r="105" spans="1:8" ht="12.75">
      <c r="A105" s="149" t="s">
        <v>214</v>
      </c>
      <c r="B105" s="136">
        <f>138678+47065</f>
        <v>185743</v>
      </c>
      <c r="C105" s="136">
        <f t="shared" si="8"/>
        <v>278127.98496200173</v>
      </c>
      <c r="D105" s="137">
        <f t="shared" si="9"/>
        <v>92384.98496200173</v>
      </c>
      <c r="H105">
        <v>197875</v>
      </c>
    </row>
    <row r="106" spans="1:8" ht="12.75">
      <c r="A106" s="149" t="s">
        <v>215</v>
      </c>
      <c r="B106" s="136">
        <f>142886+48438</f>
        <v>191324</v>
      </c>
      <c r="C106" s="136">
        <f t="shared" si="8"/>
        <v>281765.61086260393</v>
      </c>
      <c r="D106" s="137">
        <f t="shared" si="9"/>
        <v>90441.61086260393</v>
      </c>
      <c r="H106">
        <v>200463</v>
      </c>
    </row>
    <row r="107" spans="1:8" ht="12.75">
      <c r="A107" s="149" t="s">
        <v>216</v>
      </c>
      <c r="B107" s="136">
        <f>124127+42116</f>
        <v>166243</v>
      </c>
      <c r="C107" s="136">
        <f t="shared" si="8"/>
        <v>248369.16905491138</v>
      </c>
      <c r="D107" s="137">
        <f t="shared" si="9"/>
        <v>82126.16905491138</v>
      </c>
      <c r="H107">
        <v>176703</v>
      </c>
    </row>
    <row r="108" spans="1:8" ht="12.75">
      <c r="A108" s="149" t="s">
        <v>217</v>
      </c>
      <c r="B108" s="136">
        <f>120634+40942</f>
        <v>161576</v>
      </c>
      <c r="C108" s="136">
        <f t="shared" si="8"/>
        <v>242160.74803367496</v>
      </c>
      <c r="D108" s="137">
        <f t="shared" si="9"/>
        <v>80584.74803367496</v>
      </c>
      <c r="H108">
        <v>172286</v>
      </c>
    </row>
    <row r="109" spans="1:8" ht="12.75">
      <c r="A109" s="149" t="s">
        <v>218</v>
      </c>
      <c r="B109" s="136">
        <f>172918+58682</f>
        <v>231600</v>
      </c>
      <c r="C109" s="136">
        <f t="shared" si="8"/>
        <v>346774.82088144176</v>
      </c>
      <c r="D109" s="137">
        <f t="shared" si="9"/>
        <v>115174.82088144176</v>
      </c>
      <c r="H109">
        <v>246714</v>
      </c>
    </row>
    <row r="110" spans="1:8" ht="12.75">
      <c r="A110" s="149" t="s">
        <v>219</v>
      </c>
      <c r="B110" s="138">
        <f>85291+30961</f>
        <v>116252</v>
      </c>
      <c r="C110" s="136">
        <f t="shared" si="8"/>
        <v>119882.82484090507</v>
      </c>
      <c r="D110" s="137">
        <f t="shared" si="9"/>
        <v>3630.824840905072</v>
      </c>
      <c r="H110">
        <v>85291</v>
      </c>
    </row>
    <row r="111" spans="1:8" ht="12.75">
      <c r="A111" s="149" t="s">
        <v>51</v>
      </c>
      <c r="B111" s="138">
        <f>625409+212009</f>
        <v>837418</v>
      </c>
      <c r="C111" s="136">
        <f t="shared" si="8"/>
        <v>1227496.3387756203</v>
      </c>
      <c r="D111" s="137">
        <f t="shared" si="9"/>
        <v>390078.33877562033</v>
      </c>
      <c r="H111">
        <v>873306</v>
      </c>
    </row>
    <row r="112" spans="1:8" ht="12.75">
      <c r="A112" s="149" t="s">
        <v>52</v>
      </c>
      <c r="B112" s="138">
        <f>200864+68118</f>
        <v>268982</v>
      </c>
      <c r="C112" s="136">
        <f t="shared" si="8"/>
        <v>397510.42540545145</v>
      </c>
      <c r="D112" s="137">
        <f t="shared" si="9"/>
        <v>128528.42540545145</v>
      </c>
      <c r="H112">
        <v>282810</v>
      </c>
    </row>
    <row r="113" spans="1:8" ht="13.5" thickBot="1">
      <c r="A113" s="150" t="s">
        <v>220</v>
      </c>
      <c r="B113" s="146">
        <f>732799+248386</f>
        <v>981185</v>
      </c>
      <c r="C113" s="139">
        <f t="shared" si="8"/>
        <v>1437444.1384360336</v>
      </c>
      <c r="D113" s="140">
        <f t="shared" si="9"/>
        <v>456259.1384360336</v>
      </c>
      <c r="H113">
        <v>1022674</v>
      </c>
    </row>
    <row r="114" spans="1:4" ht="13.5" thickBot="1">
      <c r="A114" s="151" t="s">
        <v>221</v>
      </c>
      <c r="B114" s="141">
        <f>SUM(B95:B113)</f>
        <v>4859589</v>
      </c>
      <c r="C114" s="141">
        <f>SUM(C95:C113)</f>
        <v>7135265.049293823</v>
      </c>
      <c r="D114" s="142">
        <f>SUM(D95:D113)</f>
        <v>2275676.0492938235</v>
      </c>
    </row>
    <row r="115" spans="1:8" ht="25.5">
      <c r="A115" s="152" t="s">
        <v>222</v>
      </c>
      <c r="B115" s="147">
        <f>156907+56956</f>
        <v>213863</v>
      </c>
      <c r="C115" s="134">
        <f aca="true" t="shared" si="10" ref="C115:C120">H115*1.363*1.03123562007</f>
        <v>425841.1779759839</v>
      </c>
      <c r="D115" s="135">
        <f aca="true" t="shared" si="11" ref="D115:D120">C115-B115</f>
        <v>211978.17797598388</v>
      </c>
      <c r="H115">
        <v>302966</v>
      </c>
    </row>
    <row r="116" spans="1:8" ht="12.75">
      <c r="A116" s="149" t="s">
        <v>223</v>
      </c>
      <c r="B116" s="138">
        <f>130954+47536</f>
        <v>178490</v>
      </c>
      <c r="C116" s="136">
        <f t="shared" si="10"/>
        <v>255440.61260434327</v>
      </c>
      <c r="D116" s="137">
        <f t="shared" si="11"/>
        <v>76950.61260434327</v>
      </c>
      <c r="H116">
        <v>181734</v>
      </c>
    </row>
    <row r="117" spans="1:8" ht="12.75">
      <c r="A117" s="149" t="s">
        <v>224</v>
      </c>
      <c r="B117" s="138">
        <f>136267+49466</f>
        <v>185733</v>
      </c>
      <c r="C117" s="136">
        <f t="shared" si="10"/>
        <v>269111.2267887548</v>
      </c>
      <c r="D117" s="137">
        <f t="shared" si="11"/>
        <v>83378.22678875481</v>
      </c>
      <c r="H117">
        <v>191460</v>
      </c>
    </row>
    <row r="118" spans="1:8" ht="12.75">
      <c r="A118" s="149" t="s">
        <v>225</v>
      </c>
      <c r="B118" s="138">
        <f>161473+58615</f>
        <v>220088</v>
      </c>
      <c r="C118" s="136">
        <f t="shared" si="10"/>
        <v>311641.08942415717</v>
      </c>
      <c r="D118" s="137">
        <f t="shared" si="11"/>
        <v>91553.08942415717</v>
      </c>
      <c r="H118">
        <v>221718</v>
      </c>
    </row>
    <row r="119" spans="1:8" ht="12.75">
      <c r="A119" s="149" t="s">
        <v>198</v>
      </c>
      <c r="B119" s="138">
        <f>366893+133184</f>
        <v>500077</v>
      </c>
      <c r="C119" s="136">
        <f t="shared" si="10"/>
        <v>755233.2633424537</v>
      </c>
      <c r="D119" s="137">
        <f t="shared" si="11"/>
        <v>255156.26334245375</v>
      </c>
      <c r="H119">
        <v>537313</v>
      </c>
    </row>
    <row r="120" spans="1:8" ht="13.5" thickBot="1">
      <c r="A120" s="150" t="s">
        <v>49</v>
      </c>
      <c r="B120" s="146">
        <f>153705+55795</f>
        <v>209500</v>
      </c>
      <c r="C120" s="139">
        <f t="shared" si="10"/>
        <v>297967.66409144533</v>
      </c>
      <c r="D120" s="140">
        <f t="shared" si="11"/>
        <v>88467.66409144533</v>
      </c>
      <c r="H120">
        <v>211990</v>
      </c>
    </row>
    <row r="121" spans="1:8" ht="13.5" thickBot="1">
      <c r="A121" s="128" t="s">
        <v>226</v>
      </c>
      <c r="B121" s="141">
        <f>SUM(B114:B120)</f>
        <v>6367340</v>
      </c>
      <c r="C121" s="141">
        <f>SUM(C114:C120)</f>
        <v>9450500.08352096</v>
      </c>
      <c r="D121" s="142">
        <f>SUM(D114:D120)</f>
        <v>3083160.083520962</v>
      </c>
      <c r="H121">
        <f>SUM(H115:H120)</f>
        <v>1647181</v>
      </c>
    </row>
    <row r="122" spans="1:4" ht="13.5" thickBot="1">
      <c r="A122" s="153" t="s">
        <v>227</v>
      </c>
      <c r="B122" s="141">
        <f>524300+190800</f>
        <v>715100</v>
      </c>
      <c r="C122" s="141">
        <v>951300</v>
      </c>
      <c r="D122" s="142">
        <f>C122-B122</f>
        <v>236200</v>
      </c>
    </row>
    <row r="123" spans="1:4" ht="13.5" thickBot="1">
      <c r="A123" s="153" t="s">
        <v>228</v>
      </c>
      <c r="B123" s="141">
        <f>85500+31800</f>
        <v>117300</v>
      </c>
      <c r="C123" s="141">
        <v>162600</v>
      </c>
      <c r="D123" s="142">
        <f>C123-B123</f>
        <v>45300</v>
      </c>
    </row>
    <row r="124" spans="1:4" ht="13.5" thickBot="1">
      <c r="A124" s="153" t="s">
        <v>229</v>
      </c>
      <c r="B124" s="141">
        <f>582600+1599200</f>
        <v>2181800</v>
      </c>
      <c r="C124" s="141">
        <v>2568600</v>
      </c>
      <c r="D124" s="142">
        <f>C124-B124</f>
        <v>386800</v>
      </c>
    </row>
    <row r="125" spans="1:4" ht="13.5" thickBot="1">
      <c r="A125" s="153" t="s">
        <v>230</v>
      </c>
      <c r="B125" s="141"/>
      <c r="C125" s="141"/>
      <c r="D125" s="142">
        <f>C125-B125</f>
        <v>0</v>
      </c>
    </row>
    <row r="126" spans="1:4" ht="13.5" thickBot="1">
      <c r="A126" s="153" t="s">
        <v>231</v>
      </c>
      <c r="B126" s="141">
        <f>160700+58400</f>
        <v>219100</v>
      </c>
      <c r="C126" s="141">
        <v>314200</v>
      </c>
      <c r="D126" s="142">
        <f>C126-B126</f>
        <v>95100</v>
      </c>
    </row>
    <row r="127" spans="1:4" ht="13.5" thickBot="1">
      <c r="A127" s="128" t="s">
        <v>232</v>
      </c>
      <c r="B127" s="141">
        <f>B126+B124+B123+B122+B121+B94+B90+B89+B88+B87+B43</f>
        <v>187237840</v>
      </c>
      <c r="C127" s="141">
        <f>C126+C124+C123+C122+C121+C94+C90+C89+C88+C87+C43</f>
        <v>226357399.68334538</v>
      </c>
      <c r="D127" s="142">
        <f>D126+D124+D123+D122+D121+D94+D90+D89+D88+D87+D43</f>
        <v>39119559.683345385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34">
      <selection activeCell="A1" sqref="A1:K60"/>
    </sheetView>
  </sheetViews>
  <sheetFormatPr defaultColWidth="9.00390625" defaultRowHeight="12.75"/>
  <sheetData>
    <row r="1" spans="1:11" ht="15.75">
      <c r="A1" s="154" t="s">
        <v>233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ht="13.5" thickBot="1">
      <c r="K2" s="155" t="s">
        <v>234</v>
      </c>
    </row>
    <row r="3" spans="1:11" ht="12.75">
      <c r="A3" s="156" t="s">
        <v>235</v>
      </c>
      <c r="B3" s="157" t="s">
        <v>236</v>
      </c>
      <c r="C3" s="157" t="s">
        <v>237</v>
      </c>
      <c r="D3" s="157" t="s">
        <v>238</v>
      </c>
      <c r="E3" s="157" t="s">
        <v>239</v>
      </c>
      <c r="F3" s="157" t="s">
        <v>240</v>
      </c>
      <c r="G3" s="158" t="s">
        <v>241</v>
      </c>
      <c r="H3" s="159"/>
      <c r="I3" s="157" t="s">
        <v>242</v>
      </c>
      <c r="J3" s="157" t="s">
        <v>243</v>
      </c>
      <c r="K3" s="160" t="s">
        <v>244</v>
      </c>
    </row>
    <row r="4" spans="1:11" ht="26.25" thickBot="1">
      <c r="A4" s="161"/>
      <c r="B4" s="162"/>
      <c r="C4" s="162"/>
      <c r="D4" s="162"/>
      <c r="E4" s="162"/>
      <c r="F4" s="162"/>
      <c r="G4" s="163" t="s">
        <v>245</v>
      </c>
      <c r="H4" s="163" t="s">
        <v>246</v>
      </c>
      <c r="I4" s="162"/>
      <c r="J4" s="162"/>
      <c r="K4" s="164"/>
    </row>
    <row r="5" spans="1:11" ht="12.75">
      <c r="A5" s="165" t="s">
        <v>0</v>
      </c>
      <c r="B5" s="166">
        <v>706</v>
      </c>
      <c r="C5" s="166">
        <v>27</v>
      </c>
      <c r="D5" s="166">
        <v>105.2</v>
      </c>
      <c r="E5" s="166">
        <v>65.7</v>
      </c>
      <c r="F5" s="166">
        <v>45</v>
      </c>
      <c r="G5" s="166">
        <v>2296931</v>
      </c>
      <c r="H5" s="167">
        <f aca="true" t="shared" si="0" ref="H5:H38">G5*0.71</f>
        <v>1630821.01</v>
      </c>
      <c r="I5" s="167">
        <f aca="true" t="shared" si="1" ref="I5:J36">(G5/D5)/12</f>
        <v>1819.4954055766793</v>
      </c>
      <c r="J5" s="167">
        <f t="shared" si="1"/>
        <v>2068.519799594115</v>
      </c>
      <c r="K5" s="168">
        <f aca="true" t="shared" si="2" ref="K5:K36">B5/F5</f>
        <v>15.688888888888888</v>
      </c>
    </row>
    <row r="6" spans="1:11" ht="12.75">
      <c r="A6" s="169" t="s">
        <v>1</v>
      </c>
      <c r="B6" s="170">
        <v>237</v>
      </c>
      <c r="C6" s="170">
        <v>10</v>
      </c>
      <c r="D6" s="170">
        <v>46.94</v>
      </c>
      <c r="E6" s="170">
        <v>24.19</v>
      </c>
      <c r="F6" s="170">
        <v>19</v>
      </c>
      <c r="G6" s="170">
        <v>894544</v>
      </c>
      <c r="H6" s="167">
        <f t="shared" si="0"/>
        <v>635126.24</v>
      </c>
      <c r="I6" s="167">
        <f t="shared" si="1"/>
        <v>1588.098281494106</v>
      </c>
      <c r="J6" s="167">
        <f t="shared" si="1"/>
        <v>2187.977952321896</v>
      </c>
      <c r="K6" s="168">
        <f t="shared" si="2"/>
        <v>12.473684210526315</v>
      </c>
    </row>
    <row r="7" spans="1:11" ht="12.75">
      <c r="A7" s="169" t="s">
        <v>2</v>
      </c>
      <c r="B7" s="170">
        <v>318</v>
      </c>
      <c r="C7" s="170">
        <v>14</v>
      </c>
      <c r="D7" s="170">
        <v>60.91</v>
      </c>
      <c r="E7" s="170">
        <v>32.66</v>
      </c>
      <c r="F7" s="170">
        <v>23</v>
      </c>
      <c r="G7" s="170">
        <v>1260308</v>
      </c>
      <c r="H7" s="167">
        <f t="shared" si="0"/>
        <v>894818.6799999999</v>
      </c>
      <c r="I7" s="167">
        <f t="shared" si="1"/>
        <v>1724.276254583265</v>
      </c>
      <c r="J7" s="167">
        <f t="shared" si="1"/>
        <v>2283.1666666666665</v>
      </c>
      <c r="K7" s="168">
        <f t="shared" si="2"/>
        <v>13.826086956521738</v>
      </c>
    </row>
    <row r="8" spans="1:11" ht="12.75">
      <c r="A8" s="169" t="s">
        <v>3</v>
      </c>
      <c r="B8" s="170">
        <v>620</v>
      </c>
      <c r="C8" s="170">
        <v>25</v>
      </c>
      <c r="D8" s="170">
        <v>85</v>
      </c>
      <c r="E8" s="170">
        <v>54</v>
      </c>
      <c r="F8" s="170">
        <v>49</v>
      </c>
      <c r="G8" s="170">
        <v>1901800</v>
      </c>
      <c r="H8" s="167">
        <f t="shared" si="0"/>
        <v>1350278</v>
      </c>
      <c r="I8" s="167">
        <f t="shared" si="1"/>
        <v>1864.5098039215688</v>
      </c>
      <c r="J8" s="167">
        <f t="shared" si="1"/>
        <v>2083.7623456790125</v>
      </c>
      <c r="K8" s="168">
        <f t="shared" si="2"/>
        <v>12.653061224489797</v>
      </c>
    </row>
    <row r="9" spans="1:11" ht="12.75">
      <c r="A9" s="169" t="s">
        <v>4</v>
      </c>
      <c r="B9" s="170">
        <v>766</v>
      </c>
      <c r="C9" s="170">
        <v>31</v>
      </c>
      <c r="D9" s="170">
        <v>110.4</v>
      </c>
      <c r="E9" s="170">
        <v>83.24</v>
      </c>
      <c r="F9" s="170">
        <v>75</v>
      </c>
      <c r="G9" s="170">
        <v>2764127</v>
      </c>
      <c r="H9" s="167">
        <f t="shared" si="0"/>
        <v>1962530.17</v>
      </c>
      <c r="I9" s="167">
        <f t="shared" si="1"/>
        <v>2086.448520531401</v>
      </c>
      <c r="J9" s="167">
        <f t="shared" si="1"/>
        <v>1964.7306683485504</v>
      </c>
      <c r="K9" s="168">
        <f t="shared" si="2"/>
        <v>10.213333333333333</v>
      </c>
    </row>
    <row r="10" spans="1:11" ht="12.75">
      <c r="A10" s="169" t="s">
        <v>5</v>
      </c>
      <c r="B10" s="170">
        <v>177</v>
      </c>
      <c r="C10" s="170">
        <v>10</v>
      </c>
      <c r="D10" s="170">
        <v>39.16</v>
      </c>
      <c r="E10" s="170">
        <v>25</v>
      </c>
      <c r="F10" s="170">
        <v>27</v>
      </c>
      <c r="G10" s="170">
        <v>800931</v>
      </c>
      <c r="H10" s="167">
        <f t="shared" si="0"/>
        <v>568661.01</v>
      </c>
      <c r="I10" s="167">
        <f t="shared" si="1"/>
        <v>1704.3986210418796</v>
      </c>
      <c r="J10" s="167">
        <f t="shared" si="1"/>
        <v>1895.5366999999999</v>
      </c>
      <c r="K10" s="168">
        <f t="shared" si="2"/>
        <v>6.555555555555555</v>
      </c>
    </row>
    <row r="11" spans="1:11" ht="12.75">
      <c r="A11" s="169" t="s">
        <v>6</v>
      </c>
      <c r="B11" s="170">
        <v>943</v>
      </c>
      <c r="C11" s="170">
        <v>33</v>
      </c>
      <c r="D11" s="170">
        <v>127.05</v>
      </c>
      <c r="E11" s="170">
        <v>88.88</v>
      </c>
      <c r="F11" s="170">
        <v>78</v>
      </c>
      <c r="G11" s="170">
        <v>2885221</v>
      </c>
      <c r="H11" s="167">
        <f t="shared" si="0"/>
        <v>2048506.91</v>
      </c>
      <c r="I11" s="167">
        <f t="shared" si="1"/>
        <v>1892.444575626394</v>
      </c>
      <c r="J11" s="167">
        <f t="shared" si="1"/>
        <v>1920.6672948544856</v>
      </c>
      <c r="K11" s="168">
        <f t="shared" si="2"/>
        <v>12.08974358974359</v>
      </c>
    </row>
    <row r="12" spans="1:11" ht="12.75">
      <c r="A12" s="169" t="s">
        <v>247</v>
      </c>
      <c r="B12" s="170">
        <v>679</v>
      </c>
      <c r="C12" s="170">
        <v>24</v>
      </c>
      <c r="D12" s="170">
        <v>84.87</v>
      </c>
      <c r="E12" s="170">
        <v>62.04</v>
      </c>
      <c r="F12" s="170">
        <v>52</v>
      </c>
      <c r="G12" s="170">
        <v>2055520</v>
      </c>
      <c r="H12" s="167">
        <f t="shared" si="0"/>
        <v>1459419.2</v>
      </c>
      <c r="I12" s="167">
        <f t="shared" si="1"/>
        <v>2018.3025018655983</v>
      </c>
      <c r="J12" s="167">
        <f t="shared" si="1"/>
        <v>1960.320223511713</v>
      </c>
      <c r="K12" s="168">
        <f t="shared" si="2"/>
        <v>13.057692307692308</v>
      </c>
    </row>
    <row r="13" spans="1:11" ht="12.75">
      <c r="A13" s="169" t="s">
        <v>7</v>
      </c>
      <c r="B13" s="170">
        <v>369</v>
      </c>
      <c r="C13" s="170">
        <v>15</v>
      </c>
      <c r="D13" s="170">
        <v>57.42</v>
      </c>
      <c r="E13" s="170">
        <v>34.17</v>
      </c>
      <c r="F13" s="170">
        <v>31</v>
      </c>
      <c r="G13" s="170">
        <v>1239512</v>
      </c>
      <c r="H13" s="167">
        <f t="shared" si="0"/>
        <v>880053.5199999999</v>
      </c>
      <c r="I13" s="167">
        <f t="shared" si="1"/>
        <v>1798.8970161383952</v>
      </c>
      <c r="J13" s="167">
        <f t="shared" si="1"/>
        <v>2146.262608525997</v>
      </c>
      <c r="K13" s="168">
        <f t="shared" si="2"/>
        <v>11.903225806451612</v>
      </c>
    </row>
    <row r="14" spans="1:11" ht="12.75">
      <c r="A14" s="169" t="s">
        <v>40</v>
      </c>
      <c r="B14" s="170">
        <v>931</v>
      </c>
      <c r="C14" s="170">
        <v>35</v>
      </c>
      <c r="D14" s="170">
        <v>226.06</v>
      </c>
      <c r="E14" s="170">
        <v>152.16</v>
      </c>
      <c r="F14" s="170">
        <v>105</v>
      </c>
      <c r="G14" s="170">
        <v>5285969</v>
      </c>
      <c r="H14" s="167">
        <f t="shared" si="0"/>
        <v>3753037.9899999998</v>
      </c>
      <c r="I14" s="167">
        <f t="shared" si="1"/>
        <v>1948.5862897755758</v>
      </c>
      <c r="J14" s="167">
        <f t="shared" si="1"/>
        <v>2055.42301415177</v>
      </c>
      <c r="K14" s="168">
        <f t="shared" si="2"/>
        <v>8.866666666666667</v>
      </c>
    </row>
    <row r="15" spans="1:11" ht="12.75">
      <c r="A15" s="169" t="s">
        <v>248</v>
      </c>
      <c r="B15" s="170">
        <v>102</v>
      </c>
      <c r="C15" s="170">
        <v>9</v>
      </c>
      <c r="D15" s="170">
        <v>30.61</v>
      </c>
      <c r="E15" s="170">
        <v>18.11</v>
      </c>
      <c r="F15" s="170">
        <v>10</v>
      </c>
      <c r="G15" s="170">
        <v>610568</v>
      </c>
      <c r="H15" s="167">
        <f t="shared" si="0"/>
        <v>433503.27999999997</v>
      </c>
      <c r="I15" s="167">
        <f t="shared" si="1"/>
        <v>1662.223674180551</v>
      </c>
      <c r="J15" s="167">
        <f t="shared" si="1"/>
        <v>1994.7693723541322</v>
      </c>
      <c r="K15" s="168">
        <f t="shared" si="2"/>
        <v>10.2</v>
      </c>
    </row>
    <row r="16" spans="1:11" ht="12.75">
      <c r="A16" s="169" t="s">
        <v>9</v>
      </c>
      <c r="B16" s="170">
        <v>295</v>
      </c>
      <c r="C16" s="170">
        <v>13</v>
      </c>
      <c r="D16" s="170">
        <v>61.36</v>
      </c>
      <c r="E16" s="170">
        <v>33.2</v>
      </c>
      <c r="F16" s="170">
        <v>30</v>
      </c>
      <c r="G16" s="170">
        <v>1320413</v>
      </c>
      <c r="H16" s="167">
        <f t="shared" si="0"/>
        <v>937493.23</v>
      </c>
      <c r="I16" s="167">
        <f t="shared" si="1"/>
        <v>1793.259724033029</v>
      </c>
      <c r="J16" s="167">
        <f t="shared" si="1"/>
        <v>2353.145657630522</v>
      </c>
      <c r="K16" s="168">
        <f t="shared" si="2"/>
        <v>9.833333333333334</v>
      </c>
    </row>
    <row r="17" spans="1:11" ht="12.75">
      <c r="A17" s="169" t="s">
        <v>10</v>
      </c>
      <c r="B17" s="170">
        <v>577</v>
      </c>
      <c r="C17" s="170">
        <v>34</v>
      </c>
      <c r="D17" s="170">
        <v>87.55</v>
      </c>
      <c r="E17" s="170">
        <v>63.71</v>
      </c>
      <c r="F17" s="170">
        <v>61</v>
      </c>
      <c r="G17" s="170">
        <v>2100073</v>
      </c>
      <c r="H17" s="167">
        <f t="shared" si="0"/>
        <v>1491051.8299999998</v>
      </c>
      <c r="I17" s="167">
        <f t="shared" si="1"/>
        <v>1998.9272796497241</v>
      </c>
      <c r="J17" s="167">
        <f t="shared" si="1"/>
        <v>1950.3110840788988</v>
      </c>
      <c r="K17" s="168">
        <f t="shared" si="2"/>
        <v>9.459016393442623</v>
      </c>
    </row>
    <row r="18" spans="1:11" ht="12.75">
      <c r="A18" s="169" t="s">
        <v>11</v>
      </c>
      <c r="B18" s="170">
        <v>262</v>
      </c>
      <c r="C18" s="170">
        <v>11</v>
      </c>
      <c r="D18" s="170">
        <v>49.35</v>
      </c>
      <c r="E18" s="170">
        <v>29.19</v>
      </c>
      <c r="F18" s="170">
        <v>18</v>
      </c>
      <c r="G18" s="170">
        <v>1032500</v>
      </c>
      <c r="H18" s="167">
        <f t="shared" si="0"/>
        <v>733075</v>
      </c>
      <c r="I18" s="167">
        <f t="shared" si="1"/>
        <v>1743.4988179669028</v>
      </c>
      <c r="J18" s="167">
        <f t="shared" si="1"/>
        <v>2092.825739408473</v>
      </c>
      <c r="K18" s="168">
        <f t="shared" si="2"/>
        <v>14.555555555555555</v>
      </c>
    </row>
    <row r="19" spans="1:11" ht="12.75">
      <c r="A19" s="169" t="s">
        <v>12</v>
      </c>
      <c r="B19" s="170">
        <v>892</v>
      </c>
      <c r="C19" s="170">
        <v>31</v>
      </c>
      <c r="D19" s="170">
        <v>113.64</v>
      </c>
      <c r="E19" s="170">
        <v>76.14</v>
      </c>
      <c r="F19" s="170">
        <v>54</v>
      </c>
      <c r="G19" s="170">
        <v>2502865</v>
      </c>
      <c r="H19" s="167">
        <f t="shared" si="0"/>
        <v>1777034.15</v>
      </c>
      <c r="I19" s="167">
        <f t="shared" si="1"/>
        <v>1835.3756013140912</v>
      </c>
      <c r="J19" s="167">
        <f t="shared" si="1"/>
        <v>1944.919610804658</v>
      </c>
      <c r="K19" s="168">
        <f t="shared" si="2"/>
        <v>16.51851851851852</v>
      </c>
    </row>
    <row r="20" spans="1:11" ht="12.75">
      <c r="A20" s="169" t="s">
        <v>14</v>
      </c>
      <c r="B20" s="170">
        <v>1409</v>
      </c>
      <c r="C20" s="170">
        <v>49</v>
      </c>
      <c r="D20" s="170">
        <v>167.37</v>
      </c>
      <c r="E20" s="170">
        <v>114.95</v>
      </c>
      <c r="F20" s="170">
        <v>101</v>
      </c>
      <c r="G20" s="170">
        <v>3735296</v>
      </c>
      <c r="H20" s="167">
        <f t="shared" si="0"/>
        <v>2652060.1599999997</v>
      </c>
      <c r="I20" s="167">
        <f t="shared" si="1"/>
        <v>1859.7996454960069</v>
      </c>
      <c r="J20" s="167">
        <f t="shared" si="1"/>
        <v>1922.6186457880233</v>
      </c>
      <c r="K20" s="168">
        <f t="shared" si="2"/>
        <v>13.950495049504951</v>
      </c>
    </row>
    <row r="21" spans="1:11" ht="12.75">
      <c r="A21" s="169" t="s">
        <v>15</v>
      </c>
      <c r="B21" s="170">
        <v>551</v>
      </c>
      <c r="C21" s="170">
        <v>21</v>
      </c>
      <c r="D21" s="170">
        <v>82.55</v>
      </c>
      <c r="E21" s="170">
        <v>52.8</v>
      </c>
      <c r="F21" s="170">
        <v>40</v>
      </c>
      <c r="G21" s="170">
        <v>1776504</v>
      </c>
      <c r="H21" s="167">
        <f t="shared" si="0"/>
        <v>1261317.8399999999</v>
      </c>
      <c r="I21" s="167">
        <f t="shared" si="1"/>
        <v>1793.3615990308906</v>
      </c>
      <c r="J21" s="167">
        <f t="shared" si="1"/>
        <v>1990.7162878787876</v>
      </c>
      <c r="K21" s="168">
        <f t="shared" si="2"/>
        <v>13.775</v>
      </c>
    </row>
    <row r="22" spans="1:11" ht="12.75">
      <c r="A22" s="169" t="s">
        <v>16</v>
      </c>
      <c r="B22" s="170">
        <v>741</v>
      </c>
      <c r="C22" s="170">
        <v>28</v>
      </c>
      <c r="D22" s="170">
        <v>92.35</v>
      </c>
      <c r="E22" s="170">
        <v>60.44</v>
      </c>
      <c r="F22" s="170">
        <v>51</v>
      </c>
      <c r="G22" s="170">
        <v>2114550</v>
      </c>
      <c r="H22" s="167">
        <f t="shared" si="0"/>
        <v>1501330.5</v>
      </c>
      <c r="I22" s="167">
        <f t="shared" si="1"/>
        <v>1908.0942068218735</v>
      </c>
      <c r="J22" s="167">
        <f t="shared" si="1"/>
        <v>2070.001240900066</v>
      </c>
      <c r="K22" s="168">
        <f t="shared" si="2"/>
        <v>14.529411764705882</v>
      </c>
    </row>
    <row r="23" spans="1:11" ht="12.75">
      <c r="A23" s="169" t="s">
        <v>17</v>
      </c>
      <c r="B23" s="170">
        <v>252</v>
      </c>
      <c r="C23" s="170">
        <v>11</v>
      </c>
      <c r="D23" s="170">
        <v>57.8</v>
      </c>
      <c r="E23" s="170">
        <v>33.32</v>
      </c>
      <c r="F23" s="170">
        <v>24</v>
      </c>
      <c r="G23" s="170">
        <v>1175960</v>
      </c>
      <c r="H23" s="167">
        <f t="shared" si="0"/>
        <v>834931.6</v>
      </c>
      <c r="I23" s="167">
        <f t="shared" si="1"/>
        <v>1695.444059976932</v>
      </c>
      <c r="J23" s="167">
        <f t="shared" si="1"/>
        <v>2088.1642657062825</v>
      </c>
      <c r="K23" s="168">
        <f t="shared" si="2"/>
        <v>10.5</v>
      </c>
    </row>
    <row r="24" spans="1:11" ht="12.75">
      <c r="A24" s="169" t="s">
        <v>18</v>
      </c>
      <c r="B24" s="170">
        <v>456</v>
      </c>
      <c r="C24" s="170">
        <v>18</v>
      </c>
      <c r="D24" s="170">
        <v>60.66</v>
      </c>
      <c r="E24" s="170">
        <v>39.91</v>
      </c>
      <c r="F24" s="170">
        <v>33</v>
      </c>
      <c r="G24" s="170">
        <v>1375751</v>
      </c>
      <c r="H24" s="167">
        <f t="shared" si="0"/>
        <v>976783.21</v>
      </c>
      <c r="I24" s="167">
        <f t="shared" si="1"/>
        <v>1889.9755467633806</v>
      </c>
      <c r="J24" s="167">
        <f t="shared" si="1"/>
        <v>2039.5540173724214</v>
      </c>
      <c r="K24" s="168">
        <f t="shared" si="2"/>
        <v>13.818181818181818</v>
      </c>
    </row>
    <row r="25" spans="1:11" ht="12.75">
      <c r="A25" s="169" t="s">
        <v>19</v>
      </c>
      <c r="B25" s="170">
        <v>268</v>
      </c>
      <c r="C25" s="170">
        <v>12</v>
      </c>
      <c r="D25" s="170">
        <v>48.48</v>
      </c>
      <c r="E25" s="170">
        <v>28.98</v>
      </c>
      <c r="F25" s="170">
        <v>25</v>
      </c>
      <c r="G25" s="170">
        <v>1071175</v>
      </c>
      <c r="H25" s="167">
        <f t="shared" si="0"/>
        <v>760534.25</v>
      </c>
      <c r="I25" s="167">
        <f t="shared" si="1"/>
        <v>1841.266157865787</v>
      </c>
      <c r="J25" s="167">
        <f t="shared" si="1"/>
        <v>2186.951489533011</v>
      </c>
      <c r="K25" s="168">
        <f t="shared" si="2"/>
        <v>10.72</v>
      </c>
    </row>
    <row r="26" spans="1:11" ht="12.75">
      <c r="A26" s="169" t="s">
        <v>20</v>
      </c>
      <c r="B26" s="170">
        <v>398</v>
      </c>
      <c r="C26" s="170">
        <v>15</v>
      </c>
      <c r="D26" s="170">
        <v>62.66</v>
      </c>
      <c r="E26" s="170">
        <v>37.16</v>
      </c>
      <c r="F26" s="170">
        <v>33</v>
      </c>
      <c r="G26" s="170">
        <v>1328857</v>
      </c>
      <c r="H26" s="167">
        <f t="shared" si="0"/>
        <v>943488.47</v>
      </c>
      <c r="I26" s="167">
        <f t="shared" si="1"/>
        <v>1767.2850835195234</v>
      </c>
      <c r="J26" s="167">
        <f t="shared" si="1"/>
        <v>2115.82452009329</v>
      </c>
      <c r="K26" s="168">
        <f t="shared" si="2"/>
        <v>12.06060606060606</v>
      </c>
    </row>
    <row r="27" spans="1:11" ht="12.75">
      <c r="A27" s="169" t="s">
        <v>22</v>
      </c>
      <c r="B27" s="170">
        <v>957</v>
      </c>
      <c r="C27" s="170">
        <v>35</v>
      </c>
      <c r="D27" s="170">
        <v>124.3</v>
      </c>
      <c r="E27" s="170">
        <v>84.65</v>
      </c>
      <c r="F27" s="170">
        <v>56</v>
      </c>
      <c r="G27" s="170">
        <v>2708061</v>
      </c>
      <c r="H27" s="167">
        <f t="shared" si="0"/>
        <v>1922723.3099999998</v>
      </c>
      <c r="I27" s="167">
        <f t="shared" si="1"/>
        <v>1815.5410297666933</v>
      </c>
      <c r="J27" s="167">
        <f t="shared" si="1"/>
        <v>1892.8168044890724</v>
      </c>
      <c r="K27" s="168">
        <f t="shared" si="2"/>
        <v>17.089285714285715</v>
      </c>
    </row>
    <row r="28" spans="1:11" ht="12.75">
      <c r="A28" s="169" t="s">
        <v>23</v>
      </c>
      <c r="B28" s="170">
        <v>516</v>
      </c>
      <c r="C28" s="170">
        <v>21</v>
      </c>
      <c r="D28" s="170">
        <v>77.46</v>
      </c>
      <c r="E28" s="170">
        <v>45.66</v>
      </c>
      <c r="F28" s="170">
        <v>32</v>
      </c>
      <c r="G28" s="170">
        <v>1757651</v>
      </c>
      <c r="H28" s="167">
        <f t="shared" si="0"/>
        <v>1247932.21</v>
      </c>
      <c r="I28" s="167">
        <f t="shared" si="1"/>
        <v>1890.9232722265258</v>
      </c>
      <c r="J28" s="167">
        <f t="shared" si="1"/>
        <v>2277.5810519783913</v>
      </c>
      <c r="K28" s="168">
        <f t="shared" si="2"/>
        <v>16.125</v>
      </c>
    </row>
    <row r="29" spans="1:11" ht="12.75">
      <c r="A29" s="169" t="s">
        <v>24</v>
      </c>
      <c r="B29" s="170">
        <v>231</v>
      </c>
      <c r="C29" s="170">
        <v>10</v>
      </c>
      <c r="D29" s="170">
        <v>43.41</v>
      </c>
      <c r="E29" s="170">
        <v>23.74</v>
      </c>
      <c r="F29" s="170">
        <v>20</v>
      </c>
      <c r="G29" s="170">
        <v>852636</v>
      </c>
      <c r="H29" s="167">
        <f t="shared" si="0"/>
        <v>605371.5599999999</v>
      </c>
      <c r="I29" s="167">
        <f t="shared" si="1"/>
        <v>1636.7887583506106</v>
      </c>
      <c r="J29" s="167">
        <f t="shared" si="1"/>
        <v>2125.0054759898903</v>
      </c>
      <c r="K29" s="168">
        <f t="shared" si="2"/>
        <v>11.55</v>
      </c>
    </row>
    <row r="30" spans="1:11" ht="12.75">
      <c r="A30" s="169" t="s">
        <v>25</v>
      </c>
      <c r="B30" s="170">
        <v>787</v>
      </c>
      <c r="C30" s="170">
        <v>29</v>
      </c>
      <c r="D30" s="170">
        <v>104.84</v>
      </c>
      <c r="E30" s="170">
        <v>68.18</v>
      </c>
      <c r="F30" s="170">
        <v>56</v>
      </c>
      <c r="G30" s="170">
        <v>2409629</v>
      </c>
      <c r="H30" s="167">
        <f t="shared" si="0"/>
        <v>1710836.5899999999</v>
      </c>
      <c r="I30" s="167">
        <f t="shared" si="1"/>
        <v>1915.322555004451</v>
      </c>
      <c r="J30" s="167">
        <f t="shared" si="1"/>
        <v>2091.0782609758476</v>
      </c>
      <c r="K30" s="168">
        <f t="shared" si="2"/>
        <v>14.053571428571429</v>
      </c>
    </row>
    <row r="31" spans="1:11" ht="12.75">
      <c r="A31" s="169" t="s">
        <v>27</v>
      </c>
      <c r="B31" s="170">
        <v>301</v>
      </c>
      <c r="C31" s="170">
        <v>13</v>
      </c>
      <c r="D31" s="170">
        <v>53.52</v>
      </c>
      <c r="E31" s="170">
        <v>32.61</v>
      </c>
      <c r="F31" s="170">
        <v>20</v>
      </c>
      <c r="G31" s="170">
        <v>1078981</v>
      </c>
      <c r="H31" s="167">
        <f t="shared" si="0"/>
        <v>766076.51</v>
      </c>
      <c r="I31" s="167">
        <f t="shared" si="1"/>
        <v>1680.0277154957648</v>
      </c>
      <c r="J31" s="167">
        <f t="shared" si="1"/>
        <v>1957.672774200143</v>
      </c>
      <c r="K31" s="168">
        <f t="shared" si="2"/>
        <v>15.05</v>
      </c>
    </row>
    <row r="32" spans="1:11" ht="12.75">
      <c r="A32" s="169" t="s">
        <v>28</v>
      </c>
      <c r="B32" s="170">
        <v>815</v>
      </c>
      <c r="C32" s="170">
        <v>30</v>
      </c>
      <c r="D32" s="170">
        <v>95.31</v>
      </c>
      <c r="E32" s="170">
        <v>68.81</v>
      </c>
      <c r="F32" s="170">
        <v>54</v>
      </c>
      <c r="G32" s="170">
        <v>2266249</v>
      </c>
      <c r="H32" s="167">
        <f t="shared" si="0"/>
        <v>1609036.7899999998</v>
      </c>
      <c r="I32" s="167">
        <f t="shared" si="1"/>
        <v>1981.4718637428741</v>
      </c>
      <c r="J32" s="167">
        <f t="shared" si="1"/>
        <v>1948.646986872063</v>
      </c>
      <c r="K32" s="168">
        <f t="shared" si="2"/>
        <v>15.092592592592593</v>
      </c>
    </row>
    <row r="33" spans="1:11" ht="12.75">
      <c r="A33" s="169" t="s">
        <v>29</v>
      </c>
      <c r="B33" s="170">
        <v>719</v>
      </c>
      <c r="C33" s="170">
        <v>28</v>
      </c>
      <c r="D33" s="170">
        <v>102.39</v>
      </c>
      <c r="E33" s="170">
        <v>68.98</v>
      </c>
      <c r="F33" s="170">
        <v>64</v>
      </c>
      <c r="G33" s="170">
        <f>2403939+2</f>
        <v>2403941</v>
      </c>
      <c r="H33" s="167">
        <f t="shared" si="0"/>
        <v>1706798.1099999999</v>
      </c>
      <c r="I33" s="167">
        <f t="shared" si="1"/>
        <v>1956.523260735098</v>
      </c>
      <c r="J33" s="167">
        <f t="shared" si="1"/>
        <v>2061.948040494829</v>
      </c>
      <c r="K33" s="168">
        <f t="shared" si="2"/>
        <v>11.234375</v>
      </c>
    </row>
    <row r="34" spans="1:11" ht="12.75">
      <c r="A34" s="169" t="s">
        <v>30</v>
      </c>
      <c r="B34" s="170">
        <v>294</v>
      </c>
      <c r="C34" s="170">
        <v>11</v>
      </c>
      <c r="D34" s="170">
        <v>42.6</v>
      </c>
      <c r="E34" s="170">
        <v>24.44</v>
      </c>
      <c r="F34" s="170">
        <v>14</v>
      </c>
      <c r="G34" s="170">
        <v>831794</v>
      </c>
      <c r="H34" s="167">
        <f t="shared" si="0"/>
        <v>590573.74</v>
      </c>
      <c r="I34" s="167">
        <f t="shared" si="1"/>
        <v>1627.1400625978092</v>
      </c>
      <c r="J34" s="167">
        <f t="shared" si="1"/>
        <v>2013.6856928532459</v>
      </c>
      <c r="K34" s="168">
        <f t="shared" si="2"/>
        <v>21</v>
      </c>
    </row>
    <row r="35" spans="1:11" ht="12.75">
      <c r="A35" s="169" t="s">
        <v>193</v>
      </c>
      <c r="B35" s="170">
        <v>520</v>
      </c>
      <c r="C35" s="170">
        <v>17</v>
      </c>
      <c r="D35" s="170">
        <v>57.3</v>
      </c>
      <c r="E35" s="170">
        <v>39.8</v>
      </c>
      <c r="F35" s="170">
        <v>31</v>
      </c>
      <c r="G35" s="170">
        <v>1207201</v>
      </c>
      <c r="H35" s="167">
        <f t="shared" si="0"/>
        <v>857112.71</v>
      </c>
      <c r="I35" s="167">
        <f t="shared" si="1"/>
        <v>1755.673356602676</v>
      </c>
      <c r="J35" s="167">
        <f t="shared" si="1"/>
        <v>1794.6246021775544</v>
      </c>
      <c r="K35" s="168">
        <f t="shared" si="2"/>
        <v>16.774193548387096</v>
      </c>
    </row>
    <row r="36" spans="1:11" ht="12.75">
      <c r="A36" s="169" t="s">
        <v>249</v>
      </c>
      <c r="B36" s="170">
        <v>221</v>
      </c>
      <c r="C36" s="170">
        <v>8</v>
      </c>
      <c r="D36" s="170">
        <v>25.89</v>
      </c>
      <c r="E36" s="170">
        <v>24.56</v>
      </c>
      <c r="F36" s="170">
        <v>55</v>
      </c>
      <c r="G36" s="170">
        <v>609255</v>
      </c>
      <c r="H36" s="167">
        <f t="shared" si="0"/>
        <v>432571.05</v>
      </c>
      <c r="I36" s="167">
        <f t="shared" si="1"/>
        <v>1961.0370799536502</v>
      </c>
      <c r="J36" s="167">
        <f t="shared" si="1"/>
        <v>1467.735647394137</v>
      </c>
      <c r="K36" s="168">
        <f t="shared" si="2"/>
        <v>4.0181818181818185</v>
      </c>
    </row>
    <row r="37" spans="1:11" ht="12.75">
      <c r="A37" s="169" t="s">
        <v>194</v>
      </c>
      <c r="B37" s="170">
        <v>0</v>
      </c>
      <c r="C37" s="170">
        <v>0</v>
      </c>
      <c r="D37" s="170">
        <v>0</v>
      </c>
      <c r="E37" s="170">
        <v>0</v>
      </c>
      <c r="F37" s="170">
        <v>0</v>
      </c>
      <c r="G37" s="170">
        <v>0</v>
      </c>
      <c r="H37" s="167">
        <f t="shared" si="0"/>
        <v>0</v>
      </c>
      <c r="I37" s="167">
        <v>0</v>
      </c>
      <c r="J37" s="167">
        <v>0</v>
      </c>
      <c r="K37" s="168">
        <v>0</v>
      </c>
    </row>
    <row r="38" spans="1:11" ht="13.5" thickBot="1">
      <c r="A38" s="171" t="s">
        <v>192</v>
      </c>
      <c r="B38" s="172">
        <v>208</v>
      </c>
      <c r="C38" s="172">
        <v>8</v>
      </c>
      <c r="D38" s="172">
        <v>48.15</v>
      </c>
      <c r="E38" s="172">
        <v>34.06</v>
      </c>
      <c r="F38" s="172">
        <v>24</v>
      </c>
      <c r="G38" s="172">
        <v>1031582</v>
      </c>
      <c r="H38" s="173">
        <f t="shared" si="0"/>
        <v>732423.22</v>
      </c>
      <c r="I38" s="173">
        <f>(G38/D38)/12</f>
        <v>1785.3617168570438</v>
      </c>
      <c r="J38" s="173">
        <f>(H38/E38)/12</f>
        <v>1791.9926110784888</v>
      </c>
      <c r="K38" s="174">
        <f>B38/F38</f>
        <v>8.666666666666666</v>
      </c>
    </row>
    <row r="39" spans="1:11" ht="13.5" thickBot="1">
      <c r="A39" s="175" t="s">
        <v>250</v>
      </c>
      <c r="B39" s="176">
        <f aca="true" t="shared" si="3" ref="B39:H39">SUM(B5:B38)</f>
        <v>17518</v>
      </c>
      <c r="C39" s="176">
        <f t="shared" si="3"/>
        <v>686</v>
      </c>
      <c r="D39" s="176">
        <f t="shared" si="3"/>
        <v>2632.5599999999995</v>
      </c>
      <c r="E39" s="176">
        <f t="shared" si="3"/>
        <v>1725.4400000000003</v>
      </c>
      <c r="F39" s="176">
        <f t="shared" si="3"/>
        <v>1410</v>
      </c>
      <c r="G39" s="176">
        <f t="shared" si="3"/>
        <v>58686355</v>
      </c>
      <c r="H39" s="177">
        <f t="shared" si="3"/>
        <v>41667312.04999999</v>
      </c>
      <c r="I39" s="177">
        <f>(G39/D39)/12</f>
        <v>1857.70868786783</v>
      </c>
      <c r="J39" s="177">
        <f>(H39/E39)/12</f>
        <v>2012.4003176967415</v>
      </c>
      <c r="K39" s="178">
        <f>B39/F39</f>
        <v>12.424113475177306</v>
      </c>
    </row>
    <row r="40" spans="1:11" ht="12.75">
      <c r="A40" s="179" t="s">
        <v>251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1"/>
    </row>
    <row r="41" spans="1:11" ht="12.75">
      <c r="A41" s="169" t="s">
        <v>252</v>
      </c>
      <c r="B41" s="170">
        <v>881</v>
      </c>
      <c r="C41" s="170">
        <v>31</v>
      </c>
      <c r="D41" s="170">
        <v>131.35</v>
      </c>
      <c r="E41" s="170">
        <v>97.27</v>
      </c>
      <c r="F41" s="170">
        <v>75</v>
      </c>
      <c r="G41" s="170">
        <v>2996465</v>
      </c>
      <c r="H41" s="182">
        <f aca="true" t="shared" si="4" ref="H41:H46">G41*0.71</f>
        <v>2127490.15</v>
      </c>
      <c r="I41" s="182">
        <f aca="true" t="shared" si="5" ref="I41:J44">(G41/D41)/12</f>
        <v>1901.0690267732523</v>
      </c>
      <c r="J41" s="182">
        <f t="shared" si="5"/>
        <v>1822.6672749391728</v>
      </c>
      <c r="K41" s="183">
        <f>B41/F41</f>
        <v>11.746666666666666</v>
      </c>
    </row>
    <row r="42" spans="1:11" ht="12.75">
      <c r="A42" s="169" t="s">
        <v>253</v>
      </c>
      <c r="B42" s="170">
        <v>657</v>
      </c>
      <c r="C42" s="170">
        <v>28</v>
      </c>
      <c r="D42" s="170">
        <v>95.64</v>
      </c>
      <c r="E42" s="170">
        <v>64.05</v>
      </c>
      <c r="F42" s="170">
        <v>56</v>
      </c>
      <c r="G42" s="170">
        <v>2107391</v>
      </c>
      <c r="H42" s="182">
        <f t="shared" si="4"/>
        <v>1496247.6099999999</v>
      </c>
      <c r="I42" s="182">
        <f t="shared" si="5"/>
        <v>1836.2182838421859</v>
      </c>
      <c r="J42" s="182">
        <f t="shared" si="5"/>
        <v>1946.7182019255788</v>
      </c>
      <c r="K42" s="183">
        <f>B42/F42</f>
        <v>11.732142857142858</v>
      </c>
    </row>
    <row r="43" spans="1:11" ht="12.75">
      <c r="A43" s="169" t="s">
        <v>254</v>
      </c>
      <c r="B43" s="170">
        <v>1022</v>
      </c>
      <c r="C43" s="170">
        <v>35</v>
      </c>
      <c r="D43" s="170">
        <v>121.55</v>
      </c>
      <c r="E43" s="170">
        <v>84.05</v>
      </c>
      <c r="F43" s="170">
        <v>69</v>
      </c>
      <c r="G43" s="170">
        <v>2726379</v>
      </c>
      <c r="H43" s="182">
        <f t="shared" si="4"/>
        <v>1935729.0899999999</v>
      </c>
      <c r="I43" s="182">
        <f t="shared" si="5"/>
        <v>1869.175236528178</v>
      </c>
      <c r="J43" s="182">
        <f t="shared" si="5"/>
        <v>1919.223765615705</v>
      </c>
      <c r="K43" s="183">
        <f>B43/F43</f>
        <v>14.81159420289855</v>
      </c>
    </row>
    <row r="44" spans="1:11" ht="12.75">
      <c r="A44" s="169" t="s">
        <v>255</v>
      </c>
      <c r="B44" s="170">
        <v>718</v>
      </c>
      <c r="C44" s="170">
        <v>28</v>
      </c>
      <c r="D44" s="170">
        <v>116.35</v>
      </c>
      <c r="E44" s="170">
        <v>80.35</v>
      </c>
      <c r="F44" s="170">
        <v>62</v>
      </c>
      <c r="G44" s="170">
        <v>2674273</v>
      </c>
      <c r="H44" s="182">
        <f t="shared" si="4"/>
        <v>1898733.8299999998</v>
      </c>
      <c r="I44" s="182">
        <f t="shared" si="5"/>
        <v>1915.3939263715802</v>
      </c>
      <c r="J44" s="182">
        <f t="shared" si="5"/>
        <v>1969.2323480605683</v>
      </c>
      <c r="K44" s="183">
        <f>B44/F44</f>
        <v>11.580645161290322</v>
      </c>
    </row>
    <row r="45" spans="1:11" ht="12.75">
      <c r="A45" s="169" t="s">
        <v>198</v>
      </c>
      <c r="B45" s="170">
        <v>0</v>
      </c>
      <c r="C45" s="170">
        <v>0</v>
      </c>
      <c r="D45" s="170">
        <v>0</v>
      </c>
      <c r="E45" s="170">
        <v>0</v>
      </c>
      <c r="F45" s="170">
        <v>0</v>
      </c>
      <c r="G45" s="170">
        <v>0</v>
      </c>
      <c r="H45" s="182">
        <f t="shared" si="4"/>
        <v>0</v>
      </c>
      <c r="I45" s="182">
        <v>0</v>
      </c>
      <c r="J45" s="182">
        <v>0</v>
      </c>
      <c r="K45" s="183">
        <v>0</v>
      </c>
    </row>
    <row r="46" spans="1:11" ht="13.5" thickBot="1">
      <c r="A46" s="171" t="s">
        <v>199</v>
      </c>
      <c r="B46" s="172">
        <v>362</v>
      </c>
      <c r="C46" s="172">
        <v>16</v>
      </c>
      <c r="D46" s="172">
        <v>100.65</v>
      </c>
      <c r="E46" s="172">
        <v>52.79</v>
      </c>
      <c r="F46" s="172">
        <v>37</v>
      </c>
      <c r="G46" s="172">
        <v>2054767</v>
      </c>
      <c r="H46" s="173">
        <f t="shared" si="4"/>
        <v>1458884.5699999998</v>
      </c>
      <c r="I46" s="173">
        <f aca="true" t="shared" si="6" ref="I46:J48">(G46/D46)/12</f>
        <v>1701.2477231329688</v>
      </c>
      <c r="J46" s="173">
        <f t="shared" si="6"/>
        <v>2302.968633579592</v>
      </c>
      <c r="K46" s="174">
        <f>B46/F46</f>
        <v>9.783783783783784</v>
      </c>
    </row>
    <row r="47" spans="1:11" ht="13.5" thickBot="1">
      <c r="A47" s="175" t="s">
        <v>256</v>
      </c>
      <c r="B47" s="176">
        <f aca="true" t="shared" si="7" ref="B47:H47">SUM(B41:B46)</f>
        <v>3640</v>
      </c>
      <c r="C47" s="176">
        <f t="shared" si="7"/>
        <v>138</v>
      </c>
      <c r="D47" s="176">
        <f t="shared" si="7"/>
        <v>565.54</v>
      </c>
      <c r="E47" s="176">
        <f t="shared" si="7"/>
        <v>378.51000000000005</v>
      </c>
      <c r="F47" s="176">
        <f t="shared" si="7"/>
        <v>299</v>
      </c>
      <c r="G47" s="176">
        <f t="shared" si="7"/>
        <v>12559275</v>
      </c>
      <c r="H47" s="177">
        <f t="shared" si="7"/>
        <v>8917085.25</v>
      </c>
      <c r="I47" s="177">
        <f t="shared" si="6"/>
        <v>1850.6316971390177</v>
      </c>
      <c r="J47" s="177">
        <f t="shared" si="6"/>
        <v>1963.1989577554093</v>
      </c>
      <c r="K47" s="178">
        <f>B47/F47</f>
        <v>12.173913043478262</v>
      </c>
    </row>
    <row r="48" spans="1:11" ht="13.5" thickBot="1">
      <c r="A48" s="175" t="s">
        <v>257</v>
      </c>
      <c r="B48" s="176">
        <f aca="true" t="shared" si="8" ref="B48:H48">B47+B39</f>
        <v>21158</v>
      </c>
      <c r="C48" s="176">
        <f t="shared" si="8"/>
        <v>824</v>
      </c>
      <c r="D48" s="184">
        <f t="shared" si="8"/>
        <v>3198.0999999999995</v>
      </c>
      <c r="E48" s="176">
        <f t="shared" si="8"/>
        <v>2103.9500000000003</v>
      </c>
      <c r="F48" s="176">
        <f t="shared" si="8"/>
        <v>1709</v>
      </c>
      <c r="G48" s="176">
        <f t="shared" si="8"/>
        <v>71245630</v>
      </c>
      <c r="H48" s="177">
        <f t="shared" si="8"/>
        <v>50584397.29999999</v>
      </c>
      <c r="I48" s="177">
        <f t="shared" si="6"/>
        <v>1856.4572193906804</v>
      </c>
      <c r="J48" s="177">
        <f t="shared" si="6"/>
        <v>2003.5487733390362</v>
      </c>
      <c r="K48" s="178">
        <f>B48/F48</f>
        <v>12.380339379754242</v>
      </c>
    </row>
    <row r="49" spans="1:11" ht="12.75">
      <c r="A49" s="185"/>
      <c r="B49" s="186"/>
      <c r="C49" s="186"/>
      <c r="D49" s="186"/>
      <c r="E49" s="186"/>
      <c r="F49" s="186"/>
      <c r="G49" s="186"/>
      <c r="H49" s="186"/>
      <c r="I49" s="186"/>
      <c r="J49" s="186"/>
      <c r="K49" s="187"/>
    </row>
    <row r="50" spans="1:11" ht="12.75">
      <c r="A50" s="165" t="s">
        <v>258</v>
      </c>
      <c r="B50" s="166">
        <v>145</v>
      </c>
      <c r="C50" s="166">
        <v>16</v>
      </c>
      <c r="D50" s="166">
        <v>96.57</v>
      </c>
      <c r="E50" s="166">
        <v>73.84</v>
      </c>
      <c r="F50" s="166">
        <v>37</v>
      </c>
      <c r="G50" s="166">
        <v>2360252</v>
      </c>
      <c r="H50" s="167">
        <f>G50*0.71</f>
        <v>1675778.92</v>
      </c>
      <c r="I50" s="167">
        <f aca="true" t="shared" si="9" ref="I50:J53">(G50/D50)/12</f>
        <v>2036.736736736737</v>
      </c>
      <c r="J50" s="167">
        <f t="shared" si="9"/>
        <v>1891.2275641025637</v>
      </c>
      <c r="K50" s="168">
        <f>B50/F50</f>
        <v>3.918918918918919</v>
      </c>
    </row>
    <row r="51" spans="1:11" ht="12.75">
      <c r="A51" s="169" t="s">
        <v>259</v>
      </c>
      <c r="B51" s="170">
        <v>104</v>
      </c>
      <c r="C51" s="170">
        <v>11</v>
      </c>
      <c r="D51" s="170">
        <v>60.52</v>
      </c>
      <c r="E51" s="170">
        <v>40.51</v>
      </c>
      <c r="F51" s="170">
        <v>28</v>
      </c>
      <c r="G51" s="170">
        <v>1563732</v>
      </c>
      <c r="H51" s="182">
        <f>G51*0.71</f>
        <v>1110249.72</v>
      </c>
      <c r="I51" s="182">
        <f t="shared" si="9"/>
        <v>2153.189028420357</v>
      </c>
      <c r="J51" s="182">
        <f t="shared" si="9"/>
        <v>2283.900518390521</v>
      </c>
      <c r="K51" s="183">
        <f>B51/F51</f>
        <v>3.7142857142857144</v>
      </c>
    </row>
    <row r="52" spans="1:11" ht="13.5" thickBot="1">
      <c r="A52" s="171" t="s">
        <v>260</v>
      </c>
      <c r="B52" s="172">
        <v>100</v>
      </c>
      <c r="C52" s="172">
        <v>10</v>
      </c>
      <c r="D52" s="172">
        <v>71.06</v>
      </c>
      <c r="E52" s="172">
        <v>43.45</v>
      </c>
      <c r="F52" s="172">
        <v>14</v>
      </c>
      <c r="G52" s="172">
        <v>1440383</v>
      </c>
      <c r="H52" s="173">
        <f>G52*0.71</f>
        <v>1022671.9299999999</v>
      </c>
      <c r="I52" s="173">
        <f t="shared" si="9"/>
        <v>1689.1629139694153</v>
      </c>
      <c r="J52" s="173">
        <f t="shared" si="9"/>
        <v>1961.3961066359798</v>
      </c>
      <c r="K52" s="174">
        <f>B52/F52</f>
        <v>7.142857142857143</v>
      </c>
    </row>
    <row r="53" spans="1:11" ht="13.5" thickBot="1">
      <c r="A53" s="175" t="s">
        <v>261</v>
      </c>
      <c r="B53" s="176">
        <f aca="true" t="shared" si="10" ref="B53:H53">SUM(B50:B52)</f>
        <v>349</v>
      </c>
      <c r="C53" s="176">
        <f t="shared" si="10"/>
        <v>37</v>
      </c>
      <c r="D53" s="176">
        <f t="shared" si="10"/>
        <v>228.15</v>
      </c>
      <c r="E53" s="176">
        <f t="shared" si="10"/>
        <v>157.8</v>
      </c>
      <c r="F53" s="176">
        <f t="shared" si="10"/>
        <v>79</v>
      </c>
      <c r="G53" s="176">
        <f t="shared" si="10"/>
        <v>5364367</v>
      </c>
      <c r="H53" s="177">
        <f t="shared" si="10"/>
        <v>3808700.5699999994</v>
      </c>
      <c r="I53" s="177">
        <f t="shared" si="9"/>
        <v>1959.3713930893418</v>
      </c>
      <c r="J53" s="177">
        <f t="shared" si="9"/>
        <v>2011.3543356569492</v>
      </c>
      <c r="K53" s="178">
        <f>B53/F53</f>
        <v>4.417721518987341</v>
      </c>
    </row>
    <row r="54" spans="1:11" ht="12.75">
      <c r="A54" s="185"/>
      <c r="B54" s="186"/>
      <c r="C54" s="186"/>
      <c r="D54" s="186"/>
      <c r="E54" s="186"/>
      <c r="F54" s="186"/>
      <c r="G54" s="186"/>
      <c r="H54" s="188"/>
      <c r="I54" s="188"/>
      <c r="J54" s="188"/>
      <c r="K54" s="189"/>
    </row>
    <row r="55" spans="1:11" ht="13.5" thickBot="1">
      <c r="A55" s="190" t="s">
        <v>262</v>
      </c>
      <c r="B55" s="191">
        <v>350</v>
      </c>
      <c r="C55" s="191">
        <v>16</v>
      </c>
      <c r="D55" s="191">
        <v>156.4</v>
      </c>
      <c r="E55" s="191">
        <v>67.4</v>
      </c>
      <c r="F55" s="191">
        <v>41</v>
      </c>
      <c r="G55" s="191">
        <v>3088483</v>
      </c>
      <c r="H55" s="173">
        <f>G55*0.71</f>
        <v>2192822.9299999997</v>
      </c>
      <c r="I55" s="173">
        <f>(G55/D55)/12</f>
        <v>1645.6111466325658</v>
      </c>
      <c r="J55" s="173">
        <f>(H55/E55)/12</f>
        <v>2711.2054030662707</v>
      </c>
      <c r="K55" s="174">
        <f>B55/F55</f>
        <v>8.536585365853659</v>
      </c>
    </row>
    <row r="56" spans="1:11" ht="13.5" thickBot="1">
      <c r="A56" s="175" t="s">
        <v>263</v>
      </c>
      <c r="B56" s="176">
        <f aca="true" t="shared" si="11" ref="B56:H56">B55</f>
        <v>350</v>
      </c>
      <c r="C56" s="176">
        <f t="shared" si="11"/>
        <v>16</v>
      </c>
      <c r="D56" s="176">
        <f t="shared" si="11"/>
        <v>156.4</v>
      </c>
      <c r="E56" s="176">
        <f t="shared" si="11"/>
        <v>67.4</v>
      </c>
      <c r="F56" s="176">
        <f t="shared" si="11"/>
        <v>41</v>
      </c>
      <c r="G56" s="176">
        <f t="shared" si="11"/>
        <v>3088483</v>
      </c>
      <c r="H56" s="177">
        <f t="shared" si="11"/>
        <v>2192822.9299999997</v>
      </c>
      <c r="I56" s="177">
        <f>(G56/D56)/12</f>
        <v>1645.6111466325658</v>
      </c>
      <c r="J56" s="177">
        <f>(H56/E56)/12</f>
        <v>2711.2054030662707</v>
      </c>
      <c r="K56" s="178">
        <f>B56/F56</f>
        <v>8.536585365853659</v>
      </c>
    </row>
    <row r="57" spans="1:11" ht="12.75">
      <c r="A57" s="185"/>
      <c r="B57" s="186"/>
      <c r="C57" s="186"/>
      <c r="D57" s="186"/>
      <c r="E57" s="186"/>
      <c r="F57" s="186"/>
      <c r="G57" s="186"/>
      <c r="H57" s="188"/>
      <c r="I57" s="188"/>
      <c r="J57" s="188"/>
      <c r="K57" s="189"/>
    </row>
    <row r="58" spans="1:11" ht="13.5" thickBot="1">
      <c r="A58" s="190" t="s">
        <v>264</v>
      </c>
      <c r="B58" s="191">
        <v>145</v>
      </c>
      <c r="C58" s="191">
        <v>9</v>
      </c>
      <c r="D58" s="191">
        <v>15.3</v>
      </c>
      <c r="E58" s="191">
        <v>15.3</v>
      </c>
      <c r="F58" s="191">
        <v>12</v>
      </c>
      <c r="G58" s="191">
        <v>473060</v>
      </c>
      <c r="H58" s="173">
        <f>G58*1</f>
        <v>473060</v>
      </c>
      <c r="I58" s="173">
        <f>(G58/D58)/12</f>
        <v>2576.5795206971675</v>
      </c>
      <c r="J58" s="173">
        <f>(H58/E58)/12</f>
        <v>2576.5795206971675</v>
      </c>
      <c r="K58" s="174">
        <f>B58/F58</f>
        <v>12.083333333333334</v>
      </c>
    </row>
    <row r="59" spans="1:11" ht="13.5" thickBot="1">
      <c r="A59" s="175" t="s">
        <v>265</v>
      </c>
      <c r="B59" s="176">
        <f aca="true" t="shared" si="12" ref="B59:H59">B58</f>
        <v>145</v>
      </c>
      <c r="C59" s="176">
        <f t="shared" si="12"/>
        <v>9</v>
      </c>
      <c r="D59" s="176">
        <f t="shared" si="12"/>
        <v>15.3</v>
      </c>
      <c r="E59" s="176">
        <f t="shared" si="12"/>
        <v>15.3</v>
      </c>
      <c r="F59" s="176">
        <f t="shared" si="12"/>
        <v>12</v>
      </c>
      <c r="G59" s="176">
        <f t="shared" si="12"/>
        <v>473060</v>
      </c>
      <c r="H59" s="177">
        <f t="shared" si="12"/>
        <v>473060</v>
      </c>
      <c r="I59" s="177">
        <f>(G59/D59)/12</f>
        <v>2576.5795206971675</v>
      </c>
      <c r="J59" s="177">
        <f>(H59/E59)/12</f>
        <v>2576.5795206971675</v>
      </c>
      <c r="K59" s="178">
        <f>B59/F59</f>
        <v>12.083333333333334</v>
      </c>
    </row>
    <row r="60" spans="1:11" ht="13.5" thickBot="1">
      <c r="A60" s="192"/>
      <c r="B60" s="193"/>
      <c r="C60" s="193"/>
      <c r="D60" s="193"/>
      <c r="E60" s="193"/>
      <c r="F60" s="193"/>
      <c r="G60" s="193"/>
      <c r="H60" s="193"/>
      <c r="I60" s="193"/>
      <c r="J60" s="193"/>
      <c r="K60" s="194"/>
    </row>
  </sheetData>
  <mergeCells count="12">
    <mergeCell ref="K3:K4"/>
    <mergeCell ref="A40:K40"/>
    <mergeCell ref="A1:K1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22">
      <selection activeCell="A1" sqref="A1:O44"/>
    </sheetView>
  </sheetViews>
  <sheetFormatPr defaultColWidth="9.00390625" defaultRowHeight="12.75"/>
  <sheetData>
    <row r="1" spans="1:11" ht="16.5" thickBot="1">
      <c r="A1" s="154" t="s">
        <v>233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1:15" ht="13.5" thickBot="1">
      <c r="K2" s="155" t="s">
        <v>266</v>
      </c>
      <c r="L2" s="195">
        <v>2011</v>
      </c>
      <c r="M2" s="196"/>
      <c r="N2" s="195">
        <v>2012</v>
      </c>
      <c r="O2" s="196"/>
    </row>
    <row r="3" spans="1:15" ht="12.75">
      <c r="A3" s="156" t="s">
        <v>235</v>
      </c>
      <c r="B3" s="157" t="s">
        <v>267</v>
      </c>
      <c r="C3" s="157" t="s">
        <v>268</v>
      </c>
      <c r="D3" s="157" t="s">
        <v>238</v>
      </c>
      <c r="E3" s="157" t="s">
        <v>239</v>
      </c>
      <c r="F3" s="157" t="s">
        <v>240</v>
      </c>
      <c r="G3" s="158" t="s">
        <v>269</v>
      </c>
      <c r="H3" s="159"/>
      <c r="I3" s="157" t="s">
        <v>242</v>
      </c>
      <c r="J3" s="157" t="s">
        <v>243</v>
      </c>
      <c r="K3" s="160" t="s">
        <v>270</v>
      </c>
      <c r="L3" s="156" t="s">
        <v>267</v>
      </c>
      <c r="M3" s="160" t="s">
        <v>268</v>
      </c>
      <c r="N3" s="156" t="s">
        <v>267</v>
      </c>
      <c r="O3" s="160" t="s">
        <v>268</v>
      </c>
    </row>
    <row r="4" spans="1:15" ht="26.25" thickBot="1">
      <c r="A4" s="161"/>
      <c r="B4" s="162"/>
      <c r="C4" s="162"/>
      <c r="D4" s="162"/>
      <c r="E4" s="162"/>
      <c r="F4" s="162"/>
      <c r="G4" s="163" t="s">
        <v>245</v>
      </c>
      <c r="H4" s="197" t="s">
        <v>246</v>
      </c>
      <c r="I4" s="162"/>
      <c r="J4" s="162"/>
      <c r="K4" s="164"/>
      <c r="L4" s="161"/>
      <c r="M4" s="164"/>
      <c r="N4" s="161"/>
      <c r="O4" s="164"/>
    </row>
    <row r="5" spans="1:15" ht="12.75">
      <c r="A5" s="169" t="s">
        <v>56</v>
      </c>
      <c r="B5" s="167">
        <f aca="true" t="shared" si="0" ref="B5:C36">(L5+N5)/2</f>
        <v>143.5</v>
      </c>
      <c r="C5" s="166">
        <f t="shared" si="0"/>
        <v>6</v>
      </c>
      <c r="D5" s="166">
        <v>33.65</v>
      </c>
      <c r="E5" s="166">
        <v>14.25</v>
      </c>
      <c r="F5" s="166">
        <v>10</v>
      </c>
      <c r="G5" s="166">
        <v>558798</v>
      </c>
      <c r="H5" s="167">
        <f aca="true" t="shared" si="1" ref="H5:H36">G5*0.71</f>
        <v>396746.57999999996</v>
      </c>
      <c r="I5" s="167">
        <f aca="true" t="shared" si="2" ref="I5:J37">(G5/D5)/12</f>
        <v>1383.848439821694</v>
      </c>
      <c r="J5" s="167">
        <f t="shared" si="2"/>
        <v>2320.155438596491</v>
      </c>
      <c r="K5" s="168">
        <f aca="true" t="shared" si="3" ref="K5:K37">B5/F5</f>
        <v>14.35</v>
      </c>
      <c r="L5" s="198">
        <v>144</v>
      </c>
      <c r="M5" s="199">
        <v>6</v>
      </c>
      <c r="N5" s="198">
        <v>143</v>
      </c>
      <c r="O5" s="199">
        <v>6</v>
      </c>
    </row>
    <row r="6" spans="1:15" ht="12.75">
      <c r="A6" s="169" t="s">
        <v>57</v>
      </c>
      <c r="B6" s="167">
        <f t="shared" si="0"/>
        <v>248.5</v>
      </c>
      <c r="C6" s="166">
        <f t="shared" si="0"/>
        <v>10</v>
      </c>
      <c r="D6" s="170">
        <v>58.35</v>
      </c>
      <c r="E6" s="170">
        <v>25.5</v>
      </c>
      <c r="F6" s="170">
        <v>19</v>
      </c>
      <c r="G6" s="170">
        <v>869290</v>
      </c>
      <c r="H6" s="167">
        <f t="shared" si="1"/>
        <v>617195.9</v>
      </c>
      <c r="I6" s="167">
        <f t="shared" si="2"/>
        <v>1241.4881462439303</v>
      </c>
      <c r="J6" s="167">
        <f t="shared" si="2"/>
        <v>2016.9800653594773</v>
      </c>
      <c r="K6" s="168">
        <f t="shared" si="3"/>
        <v>13.078947368421053</v>
      </c>
      <c r="L6" s="200">
        <v>231</v>
      </c>
      <c r="M6" s="201">
        <v>10</v>
      </c>
      <c r="N6" s="200">
        <v>266</v>
      </c>
      <c r="O6" s="201">
        <v>10</v>
      </c>
    </row>
    <row r="7" spans="1:15" ht="12.75">
      <c r="A7" s="169" t="s">
        <v>58</v>
      </c>
      <c r="B7" s="167">
        <f t="shared" si="0"/>
        <v>107</v>
      </c>
      <c r="C7" s="166">
        <f t="shared" si="0"/>
        <v>5</v>
      </c>
      <c r="D7" s="170">
        <v>27.95</v>
      </c>
      <c r="E7" s="170">
        <v>11.75</v>
      </c>
      <c r="F7" s="170">
        <v>9</v>
      </c>
      <c r="G7" s="170">
        <v>508918</v>
      </c>
      <c r="H7" s="167">
        <f t="shared" si="1"/>
        <v>361331.77999999997</v>
      </c>
      <c r="I7" s="167">
        <f t="shared" si="2"/>
        <v>1517.3464519976148</v>
      </c>
      <c r="J7" s="167">
        <f t="shared" si="2"/>
        <v>2562.6367375886525</v>
      </c>
      <c r="K7" s="168">
        <f t="shared" si="3"/>
        <v>11.88888888888889</v>
      </c>
      <c r="L7" s="200">
        <v>102</v>
      </c>
      <c r="M7" s="201">
        <v>5</v>
      </c>
      <c r="N7" s="200">
        <v>112</v>
      </c>
      <c r="O7" s="201">
        <v>5</v>
      </c>
    </row>
    <row r="8" spans="1:15" ht="12.75">
      <c r="A8" s="169" t="s">
        <v>59</v>
      </c>
      <c r="B8" s="167">
        <f t="shared" si="0"/>
        <v>187</v>
      </c>
      <c r="C8" s="166">
        <f t="shared" si="0"/>
        <v>7</v>
      </c>
      <c r="D8" s="170">
        <v>44.45</v>
      </c>
      <c r="E8" s="170">
        <v>21.2</v>
      </c>
      <c r="F8" s="170">
        <v>15</v>
      </c>
      <c r="G8" s="170">
        <v>805106</v>
      </c>
      <c r="H8" s="167">
        <f t="shared" si="1"/>
        <v>571625.26</v>
      </c>
      <c r="I8" s="167">
        <f t="shared" si="2"/>
        <v>1509.3850768653917</v>
      </c>
      <c r="J8" s="167">
        <f t="shared" si="2"/>
        <v>2246.95463836478</v>
      </c>
      <c r="K8" s="168">
        <f t="shared" si="3"/>
        <v>12.466666666666667</v>
      </c>
      <c r="L8" s="200">
        <v>188</v>
      </c>
      <c r="M8" s="201">
        <v>7</v>
      </c>
      <c r="N8" s="200">
        <v>186</v>
      </c>
      <c r="O8" s="201">
        <v>7</v>
      </c>
    </row>
    <row r="9" spans="1:15" ht="12.75">
      <c r="A9" s="169" t="s">
        <v>94</v>
      </c>
      <c r="B9" s="167">
        <f t="shared" si="0"/>
        <v>151</v>
      </c>
      <c r="C9" s="166">
        <f t="shared" si="0"/>
        <v>6</v>
      </c>
      <c r="D9" s="170">
        <v>34.4</v>
      </c>
      <c r="E9" s="170">
        <v>15</v>
      </c>
      <c r="F9" s="170">
        <v>11</v>
      </c>
      <c r="G9" s="170">
        <v>521871</v>
      </c>
      <c r="H9" s="167">
        <f t="shared" si="1"/>
        <v>370528.41</v>
      </c>
      <c r="I9" s="167">
        <f t="shared" si="2"/>
        <v>1264.2223837209303</v>
      </c>
      <c r="J9" s="167">
        <f t="shared" si="2"/>
        <v>2058.4911666666662</v>
      </c>
      <c r="K9" s="168">
        <f t="shared" si="3"/>
        <v>13.727272727272727</v>
      </c>
      <c r="L9" s="200">
        <v>160</v>
      </c>
      <c r="M9" s="201">
        <v>6</v>
      </c>
      <c r="N9" s="200">
        <v>142</v>
      </c>
      <c r="O9" s="201">
        <v>6</v>
      </c>
    </row>
    <row r="10" spans="1:15" ht="12.75">
      <c r="A10" s="169" t="s">
        <v>60</v>
      </c>
      <c r="B10" s="167">
        <f t="shared" si="0"/>
        <v>121.5</v>
      </c>
      <c r="C10" s="167">
        <f t="shared" si="0"/>
        <v>5</v>
      </c>
      <c r="D10" s="170">
        <v>32.45</v>
      </c>
      <c r="E10" s="170">
        <v>13.5</v>
      </c>
      <c r="F10" s="170">
        <v>11</v>
      </c>
      <c r="G10" s="170">
        <v>577675</v>
      </c>
      <c r="H10" s="167">
        <f t="shared" si="1"/>
        <v>410149.25</v>
      </c>
      <c r="I10" s="167">
        <f t="shared" si="2"/>
        <v>1483.5002568053415</v>
      </c>
      <c r="J10" s="167">
        <f t="shared" si="2"/>
        <v>2531.7854938271607</v>
      </c>
      <c r="K10" s="168">
        <f t="shared" si="3"/>
        <v>11.045454545454545</v>
      </c>
      <c r="L10" s="200">
        <v>126</v>
      </c>
      <c r="M10" s="201">
        <v>5</v>
      </c>
      <c r="N10" s="200">
        <v>117</v>
      </c>
      <c r="O10" s="201">
        <v>5</v>
      </c>
    </row>
    <row r="11" spans="1:15" ht="12.75">
      <c r="A11" s="169" t="s">
        <v>61</v>
      </c>
      <c r="B11" s="167">
        <f t="shared" si="0"/>
        <v>73</v>
      </c>
      <c r="C11" s="167">
        <f t="shared" si="0"/>
        <v>3</v>
      </c>
      <c r="D11" s="170">
        <v>19.75</v>
      </c>
      <c r="E11" s="170">
        <v>7.25</v>
      </c>
      <c r="F11" s="170">
        <v>6</v>
      </c>
      <c r="G11" s="170">
        <v>342146</v>
      </c>
      <c r="H11" s="167">
        <f t="shared" si="1"/>
        <v>242923.65999999997</v>
      </c>
      <c r="I11" s="167">
        <f t="shared" si="2"/>
        <v>1443.6540084388187</v>
      </c>
      <c r="J11" s="167">
        <f t="shared" si="2"/>
        <v>2792.2259770114943</v>
      </c>
      <c r="K11" s="168">
        <f t="shared" si="3"/>
        <v>12.166666666666666</v>
      </c>
      <c r="L11" s="200">
        <v>77</v>
      </c>
      <c r="M11" s="201">
        <v>3</v>
      </c>
      <c r="N11" s="200">
        <v>69</v>
      </c>
      <c r="O11" s="201">
        <v>3</v>
      </c>
    </row>
    <row r="12" spans="1:15" ht="12.75">
      <c r="A12" s="169" t="s">
        <v>62</v>
      </c>
      <c r="B12" s="167">
        <f t="shared" si="0"/>
        <v>89.5</v>
      </c>
      <c r="C12" s="167">
        <f t="shared" si="0"/>
        <v>7</v>
      </c>
      <c r="D12" s="170">
        <v>40.8</v>
      </c>
      <c r="E12" s="170">
        <v>20.25</v>
      </c>
      <c r="F12" s="170">
        <v>15</v>
      </c>
      <c r="G12" s="170">
        <v>827527</v>
      </c>
      <c r="H12" s="167">
        <f t="shared" si="1"/>
        <v>587544.1699999999</v>
      </c>
      <c r="I12" s="167">
        <f t="shared" si="2"/>
        <v>1690.2103758169935</v>
      </c>
      <c r="J12" s="167">
        <f t="shared" si="2"/>
        <v>2417.8772427983536</v>
      </c>
      <c r="K12" s="168">
        <f t="shared" si="3"/>
        <v>5.966666666666667</v>
      </c>
      <c r="L12" s="200">
        <v>83</v>
      </c>
      <c r="M12" s="201">
        <v>7</v>
      </c>
      <c r="N12" s="200">
        <v>96</v>
      </c>
      <c r="O12" s="201">
        <v>7</v>
      </c>
    </row>
    <row r="13" spans="1:15" ht="12.75">
      <c r="A13" s="169" t="s">
        <v>63</v>
      </c>
      <c r="B13" s="167">
        <f t="shared" si="0"/>
        <v>195.5</v>
      </c>
      <c r="C13" s="166">
        <f t="shared" si="0"/>
        <v>8</v>
      </c>
      <c r="D13" s="170">
        <v>44.6</v>
      </c>
      <c r="E13" s="170">
        <v>20</v>
      </c>
      <c r="F13" s="170">
        <v>14</v>
      </c>
      <c r="G13" s="170">
        <v>743622</v>
      </c>
      <c r="H13" s="167">
        <f t="shared" si="1"/>
        <v>527971.62</v>
      </c>
      <c r="I13" s="167">
        <f t="shared" si="2"/>
        <v>1389.428251121076</v>
      </c>
      <c r="J13" s="167">
        <f t="shared" si="2"/>
        <v>2199.88175</v>
      </c>
      <c r="K13" s="168">
        <f t="shared" si="3"/>
        <v>13.964285714285714</v>
      </c>
      <c r="L13" s="200">
        <v>184</v>
      </c>
      <c r="M13" s="201">
        <v>8</v>
      </c>
      <c r="N13" s="200">
        <v>207</v>
      </c>
      <c r="O13" s="201">
        <v>8</v>
      </c>
    </row>
    <row r="14" spans="1:15" ht="12.75">
      <c r="A14" s="169" t="s">
        <v>64</v>
      </c>
      <c r="B14" s="167">
        <f t="shared" si="0"/>
        <v>309</v>
      </c>
      <c r="C14" s="166">
        <f t="shared" si="0"/>
        <v>12</v>
      </c>
      <c r="D14" s="170">
        <v>66.1</v>
      </c>
      <c r="E14" s="170">
        <v>31.2</v>
      </c>
      <c r="F14" s="170">
        <v>22</v>
      </c>
      <c r="G14" s="170">
        <v>1161953</v>
      </c>
      <c r="H14" s="167">
        <f t="shared" si="1"/>
        <v>824986.63</v>
      </c>
      <c r="I14" s="167">
        <f t="shared" si="2"/>
        <v>1464.8928391326274</v>
      </c>
      <c r="J14" s="167">
        <f t="shared" si="2"/>
        <v>2203.4899305555555</v>
      </c>
      <c r="K14" s="168">
        <f t="shared" si="3"/>
        <v>14.045454545454545</v>
      </c>
      <c r="L14" s="200">
        <v>309</v>
      </c>
      <c r="M14" s="201">
        <v>12</v>
      </c>
      <c r="N14" s="200">
        <v>309</v>
      </c>
      <c r="O14" s="201">
        <v>12</v>
      </c>
    </row>
    <row r="15" spans="1:15" ht="12.75">
      <c r="A15" s="169" t="s">
        <v>65</v>
      </c>
      <c r="B15" s="167">
        <f t="shared" si="0"/>
        <v>365.5</v>
      </c>
      <c r="C15" s="167">
        <f t="shared" si="0"/>
        <v>13</v>
      </c>
      <c r="D15" s="170">
        <v>71.55</v>
      </c>
      <c r="E15" s="170">
        <v>31.75</v>
      </c>
      <c r="F15" s="170">
        <v>25</v>
      </c>
      <c r="G15" s="170">
        <v>1250352</v>
      </c>
      <c r="H15" s="167">
        <f t="shared" si="1"/>
        <v>887749.9199999999</v>
      </c>
      <c r="I15" s="167">
        <f t="shared" si="2"/>
        <v>1456.2683438155136</v>
      </c>
      <c r="J15" s="167">
        <f t="shared" si="2"/>
        <v>2330.0522834645667</v>
      </c>
      <c r="K15" s="168">
        <f t="shared" si="3"/>
        <v>14.62</v>
      </c>
      <c r="L15" s="200">
        <v>349</v>
      </c>
      <c r="M15" s="201">
        <v>13</v>
      </c>
      <c r="N15" s="200">
        <v>382</v>
      </c>
      <c r="O15" s="201">
        <v>13</v>
      </c>
    </row>
    <row r="16" spans="1:15" ht="12.75">
      <c r="A16" s="169" t="s">
        <v>66</v>
      </c>
      <c r="B16" s="167">
        <f t="shared" si="0"/>
        <v>95.5</v>
      </c>
      <c r="C16" s="166">
        <f t="shared" si="0"/>
        <v>4</v>
      </c>
      <c r="D16" s="170">
        <v>25.45</v>
      </c>
      <c r="E16" s="170">
        <v>9.75</v>
      </c>
      <c r="F16" s="170">
        <v>8</v>
      </c>
      <c r="G16" s="170">
        <v>435853</v>
      </c>
      <c r="H16" s="167">
        <f t="shared" si="1"/>
        <v>309455.63</v>
      </c>
      <c r="I16" s="167">
        <f t="shared" si="2"/>
        <v>1427.1545514079896</v>
      </c>
      <c r="J16" s="167">
        <f t="shared" si="2"/>
        <v>2644.9199145299144</v>
      </c>
      <c r="K16" s="168">
        <f t="shared" si="3"/>
        <v>11.9375</v>
      </c>
      <c r="L16" s="200">
        <v>97</v>
      </c>
      <c r="M16" s="201">
        <v>4</v>
      </c>
      <c r="N16" s="200">
        <v>94</v>
      </c>
      <c r="O16" s="201">
        <v>4</v>
      </c>
    </row>
    <row r="17" spans="1:15" ht="12.75">
      <c r="A17" s="169" t="s">
        <v>67</v>
      </c>
      <c r="B17" s="167">
        <f t="shared" si="0"/>
        <v>155.5</v>
      </c>
      <c r="C17" s="167">
        <f t="shared" si="0"/>
        <v>7</v>
      </c>
      <c r="D17" s="170">
        <v>44.8</v>
      </c>
      <c r="E17" s="170">
        <v>22.25</v>
      </c>
      <c r="F17" s="170">
        <v>15</v>
      </c>
      <c r="G17" s="170">
        <v>933651</v>
      </c>
      <c r="H17" s="167">
        <f t="shared" si="1"/>
        <v>662892.21</v>
      </c>
      <c r="I17" s="167">
        <f t="shared" si="2"/>
        <v>1736.7020089285716</v>
      </c>
      <c r="J17" s="167">
        <f t="shared" si="2"/>
        <v>2482.7423595505616</v>
      </c>
      <c r="K17" s="168">
        <f t="shared" si="3"/>
        <v>10.366666666666667</v>
      </c>
      <c r="L17" s="200">
        <v>153</v>
      </c>
      <c r="M17" s="201">
        <v>7</v>
      </c>
      <c r="N17" s="200">
        <v>158</v>
      </c>
      <c r="O17" s="201">
        <v>7</v>
      </c>
    </row>
    <row r="18" spans="1:15" ht="12.75">
      <c r="A18" s="169" t="s">
        <v>68</v>
      </c>
      <c r="B18" s="167">
        <f t="shared" si="0"/>
        <v>185</v>
      </c>
      <c r="C18" s="167">
        <f t="shared" si="0"/>
        <v>7</v>
      </c>
      <c r="D18" s="170">
        <v>42.65</v>
      </c>
      <c r="E18" s="170">
        <v>18.5</v>
      </c>
      <c r="F18" s="170">
        <v>14</v>
      </c>
      <c r="G18" s="170">
        <v>790166</v>
      </c>
      <c r="H18" s="167">
        <f t="shared" si="1"/>
        <v>561017.86</v>
      </c>
      <c r="I18" s="167">
        <f t="shared" si="2"/>
        <v>1543.8960531457603</v>
      </c>
      <c r="J18" s="167">
        <f t="shared" si="2"/>
        <v>2527.1074774774775</v>
      </c>
      <c r="K18" s="168">
        <f t="shared" si="3"/>
        <v>13.214285714285714</v>
      </c>
      <c r="L18" s="200">
        <v>180</v>
      </c>
      <c r="M18" s="201">
        <v>7</v>
      </c>
      <c r="N18" s="200">
        <v>190</v>
      </c>
      <c r="O18" s="201">
        <v>7</v>
      </c>
    </row>
    <row r="19" spans="1:15" ht="12.75">
      <c r="A19" s="169" t="s">
        <v>69</v>
      </c>
      <c r="B19" s="167">
        <f t="shared" si="0"/>
        <v>176</v>
      </c>
      <c r="C19" s="166">
        <f t="shared" si="0"/>
        <v>6</v>
      </c>
      <c r="D19" s="170">
        <v>36.5</v>
      </c>
      <c r="E19" s="170">
        <v>16</v>
      </c>
      <c r="F19" s="170">
        <v>12</v>
      </c>
      <c r="G19" s="170">
        <v>611288</v>
      </c>
      <c r="H19" s="167">
        <f t="shared" si="1"/>
        <v>434014.48</v>
      </c>
      <c r="I19" s="167">
        <f t="shared" si="2"/>
        <v>1395.634703196347</v>
      </c>
      <c r="J19" s="167">
        <f t="shared" si="2"/>
        <v>2260.492083333333</v>
      </c>
      <c r="K19" s="168">
        <f t="shared" si="3"/>
        <v>14.666666666666666</v>
      </c>
      <c r="L19" s="200">
        <v>181</v>
      </c>
      <c r="M19" s="201">
        <v>6</v>
      </c>
      <c r="N19" s="200">
        <v>171</v>
      </c>
      <c r="O19" s="201">
        <v>6</v>
      </c>
    </row>
    <row r="20" spans="1:15" ht="12.75">
      <c r="A20" s="169" t="s">
        <v>90</v>
      </c>
      <c r="B20" s="167">
        <f t="shared" si="0"/>
        <v>255</v>
      </c>
      <c r="C20" s="167">
        <f t="shared" si="0"/>
        <v>11</v>
      </c>
      <c r="D20" s="170">
        <v>63.2</v>
      </c>
      <c r="E20" s="170">
        <v>29.2</v>
      </c>
      <c r="F20" s="170">
        <v>21</v>
      </c>
      <c r="G20" s="170">
        <v>1008396</v>
      </c>
      <c r="H20" s="167">
        <f t="shared" si="1"/>
        <v>715961.1599999999</v>
      </c>
      <c r="I20" s="167">
        <f t="shared" si="2"/>
        <v>1329.636075949367</v>
      </c>
      <c r="J20" s="167">
        <f t="shared" si="2"/>
        <v>2043.2681506849312</v>
      </c>
      <c r="K20" s="168">
        <f t="shared" si="3"/>
        <v>12.142857142857142</v>
      </c>
      <c r="L20" s="200">
        <v>252</v>
      </c>
      <c r="M20" s="201">
        <v>11</v>
      </c>
      <c r="N20" s="200">
        <v>258</v>
      </c>
      <c r="O20" s="201">
        <v>11</v>
      </c>
    </row>
    <row r="21" spans="1:15" ht="12.75">
      <c r="A21" s="169" t="s">
        <v>70</v>
      </c>
      <c r="B21" s="167">
        <f t="shared" si="0"/>
        <v>212.5</v>
      </c>
      <c r="C21" s="167">
        <f t="shared" si="0"/>
        <v>8.5</v>
      </c>
      <c r="D21" s="170">
        <v>50.1</v>
      </c>
      <c r="E21" s="170">
        <v>23.95</v>
      </c>
      <c r="F21" s="170">
        <v>17</v>
      </c>
      <c r="G21" s="170">
        <v>982416</v>
      </c>
      <c r="H21" s="167">
        <f t="shared" si="1"/>
        <v>697515.36</v>
      </c>
      <c r="I21" s="167">
        <f t="shared" si="2"/>
        <v>1634.0918163672652</v>
      </c>
      <c r="J21" s="167">
        <f t="shared" si="2"/>
        <v>2426.9845511482254</v>
      </c>
      <c r="K21" s="168">
        <f t="shared" si="3"/>
        <v>12.5</v>
      </c>
      <c r="L21" s="200">
        <v>200</v>
      </c>
      <c r="M21" s="201">
        <v>8</v>
      </c>
      <c r="N21" s="200">
        <v>225</v>
      </c>
      <c r="O21" s="201">
        <v>9</v>
      </c>
    </row>
    <row r="22" spans="1:15" ht="12.75">
      <c r="A22" s="169" t="s">
        <v>71</v>
      </c>
      <c r="B22" s="167">
        <f t="shared" si="0"/>
        <v>156.5</v>
      </c>
      <c r="C22" s="166">
        <f t="shared" si="0"/>
        <v>8</v>
      </c>
      <c r="D22" s="170">
        <v>51.7</v>
      </c>
      <c r="E22" s="170">
        <v>26.65</v>
      </c>
      <c r="F22" s="170">
        <v>14</v>
      </c>
      <c r="G22" s="170">
        <v>1202755</v>
      </c>
      <c r="H22" s="167">
        <f t="shared" si="1"/>
        <v>853956.0499999999</v>
      </c>
      <c r="I22" s="167">
        <f t="shared" si="2"/>
        <v>1938.676660219213</v>
      </c>
      <c r="J22" s="167">
        <f t="shared" si="2"/>
        <v>2670.2815822388993</v>
      </c>
      <c r="K22" s="168">
        <f t="shared" si="3"/>
        <v>11.178571428571429</v>
      </c>
      <c r="L22" s="200">
        <v>150</v>
      </c>
      <c r="M22" s="201">
        <v>8</v>
      </c>
      <c r="N22" s="200">
        <v>163</v>
      </c>
      <c r="O22" s="201">
        <v>8</v>
      </c>
    </row>
    <row r="23" spans="1:15" ht="12.75">
      <c r="A23" s="169" t="s">
        <v>72</v>
      </c>
      <c r="B23" s="167">
        <f t="shared" si="0"/>
        <v>277.5</v>
      </c>
      <c r="C23" s="166">
        <f t="shared" si="0"/>
        <v>12</v>
      </c>
      <c r="D23" s="170">
        <v>73.65</v>
      </c>
      <c r="E23" s="170">
        <v>34.45</v>
      </c>
      <c r="F23" s="170">
        <v>25</v>
      </c>
      <c r="G23" s="170">
        <v>1239379</v>
      </c>
      <c r="H23" s="167">
        <f t="shared" si="1"/>
        <v>879959.09</v>
      </c>
      <c r="I23" s="167">
        <f t="shared" si="2"/>
        <v>1402.3297126046616</v>
      </c>
      <c r="J23" s="167">
        <f t="shared" si="2"/>
        <v>2128.5899612965645</v>
      </c>
      <c r="K23" s="168">
        <f t="shared" si="3"/>
        <v>11.1</v>
      </c>
      <c r="L23" s="200">
        <v>260</v>
      </c>
      <c r="M23" s="201">
        <v>12</v>
      </c>
      <c r="N23" s="200">
        <v>295</v>
      </c>
      <c r="O23" s="201">
        <v>12</v>
      </c>
    </row>
    <row r="24" spans="1:15" ht="12.75">
      <c r="A24" s="169" t="s">
        <v>91</v>
      </c>
      <c r="B24" s="167">
        <f t="shared" si="0"/>
        <v>215</v>
      </c>
      <c r="C24" s="167">
        <f t="shared" si="0"/>
        <v>10.5</v>
      </c>
      <c r="D24" s="170">
        <v>55.6</v>
      </c>
      <c r="E24" s="170">
        <v>24.5</v>
      </c>
      <c r="F24" s="170">
        <v>18</v>
      </c>
      <c r="G24" s="170">
        <v>929627</v>
      </c>
      <c r="H24" s="167">
        <f t="shared" si="1"/>
        <v>660035.1699999999</v>
      </c>
      <c r="I24" s="167">
        <f t="shared" si="2"/>
        <v>1393.325839328537</v>
      </c>
      <c r="J24" s="167">
        <f t="shared" si="2"/>
        <v>2245.0175850340133</v>
      </c>
      <c r="K24" s="168">
        <f t="shared" si="3"/>
        <v>11.944444444444445</v>
      </c>
      <c r="L24" s="200">
        <v>205</v>
      </c>
      <c r="M24" s="201">
        <v>10</v>
      </c>
      <c r="N24" s="200">
        <v>225</v>
      </c>
      <c r="O24" s="201">
        <v>11</v>
      </c>
    </row>
    <row r="25" spans="1:15" ht="12.75">
      <c r="A25" s="169" t="s">
        <v>73</v>
      </c>
      <c r="B25" s="167">
        <f t="shared" si="0"/>
        <v>366</v>
      </c>
      <c r="C25" s="167">
        <f t="shared" si="0"/>
        <v>11</v>
      </c>
      <c r="D25" s="170">
        <v>62.1</v>
      </c>
      <c r="E25" s="170">
        <v>27.75</v>
      </c>
      <c r="F25" s="170">
        <v>21</v>
      </c>
      <c r="G25" s="170">
        <v>1058841</v>
      </c>
      <c r="H25" s="167">
        <f t="shared" si="1"/>
        <v>751777.11</v>
      </c>
      <c r="I25" s="167">
        <f t="shared" si="2"/>
        <v>1420.8816425120774</v>
      </c>
      <c r="J25" s="167">
        <f t="shared" si="2"/>
        <v>2257.588918918919</v>
      </c>
      <c r="K25" s="168">
        <f t="shared" si="3"/>
        <v>17.428571428571427</v>
      </c>
      <c r="L25" s="200">
        <v>353</v>
      </c>
      <c r="M25" s="201">
        <v>11</v>
      </c>
      <c r="N25" s="200">
        <v>379</v>
      </c>
      <c r="O25" s="201">
        <v>11</v>
      </c>
    </row>
    <row r="26" spans="1:15" ht="12.75">
      <c r="A26" s="169" t="s">
        <v>74</v>
      </c>
      <c r="B26" s="167">
        <f t="shared" si="0"/>
        <v>254</v>
      </c>
      <c r="C26" s="167">
        <f t="shared" si="0"/>
        <v>11</v>
      </c>
      <c r="D26" s="170">
        <v>60.25</v>
      </c>
      <c r="E26" s="170">
        <v>27.85</v>
      </c>
      <c r="F26" s="170">
        <v>20</v>
      </c>
      <c r="G26" s="170">
        <v>981855</v>
      </c>
      <c r="H26" s="167">
        <f t="shared" si="1"/>
        <v>697117.0499999999</v>
      </c>
      <c r="I26" s="167">
        <f t="shared" si="2"/>
        <v>1358.0290456431535</v>
      </c>
      <c r="J26" s="167">
        <f t="shared" si="2"/>
        <v>2085.9277378815077</v>
      </c>
      <c r="K26" s="168">
        <f t="shared" si="3"/>
        <v>12.7</v>
      </c>
      <c r="L26" s="200">
        <v>250</v>
      </c>
      <c r="M26" s="201">
        <v>11</v>
      </c>
      <c r="N26" s="200">
        <v>258</v>
      </c>
      <c r="O26" s="201">
        <v>11</v>
      </c>
    </row>
    <row r="27" spans="1:15" ht="12.75">
      <c r="A27" s="169" t="s">
        <v>75</v>
      </c>
      <c r="B27" s="167">
        <f t="shared" si="0"/>
        <v>301</v>
      </c>
      <c r="C27" s="167">
        <f t="shared" si="0"/>
        <v>11</v>
      </c>
      <c r="D27" s="170">
        <v>60.81</v>
      </c>
      <c r="E27" s="170">
        <v>26.58</v>
      </c>
      <c r="F27" s="170">
        <v>20</v>
      </c>
      <c r="G27" s="170">
        <v>1021285</v>
      </c>
      <c r="H27" s="167">
        <f t="shared" si="1"/>
        <v>725112.35</v>
      </c>
      <c r="I27" s="167">
        <f t="shared" si="2"/>
        <v>1399.557364468563</v>
      </c>
      <c r="J27" s="167">
        <f t="shared" si="2"/>
        <v>2273.3645284675194</v>
      </c>
      <c r="K27" s="168">
        <f t="shared" si="3"/>
        <v>15.05</v>
      </c>
      <c r="L27" s="200">
        <v>302</v>
      </c>
      <c r="M27" s="201">
        <v>11</v>
      </c>
      <c r="N27" s="200">
        <v>300</v>
      </c>
      <c r="O27" s="201">
        <v>11</v>
      </c>
    </row>
    <row r="28" spans="1:15" ht="12.75">
      <c r="A28" s="169" t="s">
        <v>76</v>
      </c>
      <c r="B28" s="167">
        <f t="shared" si="0"/>
        <v>274.5</v>
      </c>
      <c r="C28" s="167">
        <f t="shared" si="0"/>
        <v>11</v>
      </c>
      <c r="D28" s="170">
        <v>63.8</v>
      </c>
      <c r="E28" s="170">
        <v>30.45</v>
      </c>
      <c r="F28" s="170">
        <v>22</v>
      </c>
      <c r="G28" s="170">
        <v>1152725</v>
      </c>
      <c r="H28" s="167">
        <f t="shared" si="1"/>
        <v>818434.75</v>
      </c>
      <c r="I28" s="167">
        <f t="shared" si="2"/>
        <v>1505.6491640543366</v>
      </c>
      <c r="J28" s="167">
        <f t="shared" si="2"/>
        <v>2239.832375478927</v>
      </c>
      <c r="K28" s="168">
        <f t="shared" si="3"/>
        <v>12.477272727272727</v>
      </c>
      <c r="L28" s="200">
        <v>274</v>
      </c>
      <c r="M28" s="201">
        <v>11</v>
      </c>
      <c r="N28" s="200">
        <v>275</v>
      </c>
      <c r="O28" s="201">
        <v>11</v>
      </c>
    </row>
    <row r="29" spans="1:15" ht="12.75">
      <c r="A29" s="169" t="s">
        <v>77</v>
      </c>
      <c r="B29" s="167">
        <f t="shared" si="0"/>
        <v>339.5</v>
      </c>
      <c r="C29" s="167">
        <f t="shared" si="0"/>
        <v>11</v>
      </c>
      <c r="D29" s="170">
        <v>62.5</v>
      </c>
      <c r="E29" s="170">
        <v>27.75</v>
      </c>
      <c r="F29" s="170">
        <v>21</v>
      </c>
      <c r="G29" s="170">
        <v>1029300</v>
      </c>
      <c r="H29" s="167">
        <f t="shared" si="1"/>
        <v>730803</v>
      </c>
      <c r="I29" s="167">
        <f t="shared" si="2"/>
        <v>1372.3999999999999</v>
      </c>
      <c r="J29" s="167">
        <f t="shared" si="2"/>
        <v>2194.6036036036035</v>
      </c>
      <c r="K29" s="168">
        <f t="shared" si="3"/>
        <v>16.166666666666668</v>
      </c>
      <c r="L29" s="200">
        <v>341</v>
      </c>
      <c r="M29" s="201">
        <v>11</v>
      </c>
      <c r="N29" s="200">
        <v>338</v>
      </c>
      <c r="O29" s="201">
        <v>11</v>
      </c>
    </row>
    <row r="30" spans="1:15" ht="12.75">
      <c r="A30" s="169" t="s">
        <v>78</v>
      </c>
      <c r="B30" s="167">
        <f t="shared" si="0"/>
        <v>175</v>
      </c>
      <c r="C30" s="167">
        <f t="shared" si="0"/>
        <v>7</v>
      </c>
      <c r="D30" s="170">
        <v>42.65</v>
      </c>
      <c r="E30" s="170">
        <v>18.5</v>
      </c>
      <c r="F30" s="170">
        <v>14</v>
      </c>
      <c r="G30" s="170">
        <v>663027</v>
      </c>
      <c r="H30" s="167">
        <f t="shared" si="1"/>
        <v>470749.17</v>
      </c>
      <c r="I30" s="167">
        <f t="shared" si="2"/>
        <v>1295.480656506448</v>
      </c>
      <c r="J30" s="167">
        <f t="shared" si="2"/>
        <v>2120.491756756757</v>
      </c>
      <c r="K30" s="168">
        <f t="shared" si="3"/>
        <v>12.5</v>
      </c>
      <c r="L30" s="200">
        <v>179</v>
      </c>
      <c r="M30" s="201">
        <v>7</v>
      </c>
      <c r="N30" s="200">
        <v>171</v>
      </c>
      <c r="O30" s="201">
        <v>7</v>
      </c>
    </row>
    <row r="31" spans="1:15" ht="12.75">
      <c r="A31" s="169" t="s">
        <v>79</v>
      </c>
      <c r="B31" s="167">
        <f t="shared" si="0"/>
        <v>312.5</v>
      </c>
      <c r="C31" s="166">
        <f t="shared" si="0"/>
        <v>12</v>
      </c>
      <c r="D31" s="170">
        <v>88.06</v>
      </c>
      <c r="E31" s="170">
        <v>42.56</v>
      </c>
      <c r="F31" s="170">
        <v>35</v>
      </c>
      <c r="G31" s="170">
        <v>1752736</v>
      </c>
      <c r="H31" s="167">
        <f t="shared" si="1"/>
        <v>1244442.5599999998</v>
      </c>
      <c r="I31" s="167">
        <f t="shared" si="2"/>
        <v>1658.6569763040352</v>
      </c>
      <c r="J31" s="167">
        <f t="shared" si="2"/>
        <v>2436.6434837092725</v>
      </c>
      <c r="K31" s="168">
        <f t="shared" si="3"/>
        <v>8.928571428571429</v>
      </c>
      <c r="L31" s="200">
        <v>305</v>
      </c>
      <c r="M31" s="201">
        <v>12</v>
      </c>
      <c r="N31" s="200">
        <v>320</v>
      </c>
      <c r="O31" s="201">
        <v>12</v>
      </c>
    </row>
    <row r="32" spans="1:15" ht="12.75">
      <c r="A32" s="169" t="s">
        <v>80</v>
      </c>
      <c r="B32" s="167">
        <f t="shared" si="0"/>
        <v>305.5</v>
      </c>
      <c r="C32" s="167">
        <f t="shared" si="0"/>
        <v>11</v>
      </c>
      <c r="D32" s="170">
        <v>60.9</v>
      </c>
      <c r="E32" s="170">
        <v>27.85</v>
      </c>
      <c r="F32" s="170">
        <v>20</v>
      </c>
      <c r="G32" s="170">
        <v>1038881</v>
      </c>
      <c r="H32" s="167">
        <f t="shared" si="1"/>
        <v>737605.51</v>
      </c>
      <c r="I32" s="167">
        <f t="shared" si="2"/>
        <v>1421.5667761357417</v>
      </c>
      <c r="J32" s="167">
        <f t="shared" si="2"/>
        <v>2207.0781268701376</v>
      </c>
      <c r="K32" s="168">
        <f t="shared" si="3"/>
        <v>15.275</v>
      </c>
      <c r="L32" s="200">
        <v>306</v>
      </c>
      <c r="M32" s="201">
        <v>11</v>
      </c>
      <c r="N32" s="200">
        <v>305</v>
      </c>
      <c r="O32" s="201">
        <v>11</v>
      </c>
    </row>
    <row r="33" spans="1:15" ht="12.75">
      <c r="A33" s="169" t="s">
        <v>81</v>
      </c>
      <c r="B33" s="167">
        <f t="shared" si="0"/>
        <v>312.5</v>
      </c>
      <c r="C33" s="167">
        <f t="shared" si="0"/>
        <v>11</v>
      </c>
      <c r="D33" s="170">
        <v>64.55</v>
      </c>
      <c r="E33" s="170">
        <v>30.45</v>
      </c>
      <c r="F33" s="170">
        <v>22</v>
      </c>
      <c r="G33" s="170">
        <v>1109990</v>
      </c>
      <c r="H33" s="167">
        <f t="shared" si="1"/>
        <v>788092.8999999999</v>
      </c>
      <c r="I33" s="167">
        <f t="shared" si="2"/>
        <v>1432.9847663310095</v>
      </c>
      <c r="J33" s="167">
        <f t="shared" si="2"/>
        <v>2156.795019157088</v>
      </c>
      <c r="K33" s="168">
        <f t="shared" si="3"/>
        <v>14.204545454545455</v>
      </c>
      <c r="L33" s="200">
        <v>310</v>
      </c>
      <c r="M33" s="201">
        <v>11</v>
      </c>
      <c r="N33" s="200">
        <v>315</v>
      </c>
      <c r="O33" s="201">
        <v>11</v>
      </c>
    </row>
    <row r="34" spans="1:15" ht="12.75">
      <c r="A34" s="169" t="s">
        <v>82</v>
      </c>
      <c r="B34" s="167">
        <f t="shared" si="0"/>
        <v>267</v>
      </c>
      <c r="C34" s="166">
        <f t="shared" si="0"/>
        <v>12</v>
      </c>
      <c r="D34" s="170">
        <v>70.35</v>
      </c>
      <c r="E34" s="170">
        <v>32.45</v>
      </c>
      <c r="F34" s="170">
        <v>24</v>
      </c>
      <c r="G34" s="170">
        <v>1099908</v>
      </c>
      <c r="H34" s="167">
        <f t="shared" si="1"/>
        <v>780934.6799999999</v>
      </c>
      <c r="I34" s="167">
        <f t="shared" si="2"/>
        <v>1302.899786780384</v>
      </c>
      <c r="J34" s="167">
        <f t="shared" si="2"/>
        <v>2005.4819722650227</v>
      </c>
      <c r="K34" s="168">
        <f t="shared" si="3"/>
        <v>11.125</v>
      </c>
      <c r="L34" s="200">
        <v>250</v>
      </c>
      <c r="M34" s="201">
        <v>12</v>
      </c>
      <c r="N34" s="200">
        <v>284</v>
      </c>
      <c r="O34" s="201">
        <v>12</v>
      </c>
    </row>
    <row r="35" spans="1:15" ht="12.75">
      <c r="A35" s="169" t="s">
        <v>83</v>
      </c>
      <c r="B35" s="167">
        <f t="shared" si="0"/>
        <v>264.5</v>
      </c>
      <c r="C35" s="167">
        <f t="shared" si="0"/>
        <v>11</v>
      </c>
      <c r="D35" s="170">
        <v>61.35</v>
      </c>
      <c r="E35" s="170">
        <v>29.2</v>
      </c>
      <c r="F35" s="170">
        <v>21</v>
      </c>
      <c r="G35" s="170">
        <v>1088997</v>
      </c>
      <c r="H35" s="167">
        <f t="shared" si="1"/>
        <v>773187.87</v>
      </c>
      <c r="I35" s="167">
        <f t="shared" si="2"/>
        <v>1479.2135289323553</v>
      </c>
      <c r="J35" s="167">
        <f t="shared" si="2"/>
        <v>2206.5863869863015</v>
      </c>
      <c r="K35" s="168">
        <f t="shared" si="3"/>
        <v>12.595238095238095</v>
      </c>
      <c r="L35" s="200">
        <v>247</v>
      </c>
      <c r="M35" s="201">
        <v>11</v>
      </c>
      <c r="N35" s="200">
        <v>282</v>
      </c>
      <c r="O35" s="201">
        <v>11</v>
      </c>
    </row>
    <row r="36" spans="1:15" ht="13.5" thickBot="1">
      <c r="A36" s="171" t="s">
        <v>84</v>
      </c>
      <c r="B36" s="173">
        <f t="shared" si="0"/>
        <v>270.5</v>
      </c>
      <c r="C36" s="173">
        <f t="shared" si="0"/>
        <v>11</v>
      </c>
      <c r="D36" s="172">
        <v>64.7</v>
      </c>
      <c r="E36" s="172">
        <v>30.45</v>
      </c>
      <c r="F36" s="172">
        <v>22</v>
      </c>
      <c r="G36" s="172">
        <v>1160359</v>
      </c>
      <c r="H36" s="173">
        <f t="shared" si="1"/>
        <v>823854.89</v>
      </c>
      <c r="I36" s="173">
        <f t="shared" si="2"/>
        <v>1494.5376094796495</v>
      </c>
      <c r="J36" s="173">
        <f t="shared" si="2"/>
        <v>2254.6658182813358</v>
      </c>
      <c r="K36" s="174">
        <f t="shared" si="3"/>
        <v>12.295454545454545</v>
      </c>
      <c r="L36" s="202">
        <v>261</v>
      </c>
      <c r="M36" s="203">
        <v>11</v>
      </c>
      <c r="N36" s="202">
        <v>280</v>
      </c>
      <c r="O36" s="203">
        <v>11</v>
      </c>
    </row>
    <row r="37" spans="1:15" ht="13.5" thickBot="1">
      <c r="A37" s="175" t="s">
        <v>250</v>
      </c>
      <c r="B37" s="176">
        <f aca="true" t="shared" si="4" ref="B37:H37">SUM(B5:B36)</f>
        <v>7162</v>
      </c>
      <c r="C37" s="177">
        <f t="shared" si="4"/>
        <v>286</v>
      </c>
      <c r="D37" s="176">
        <f t="shared" si="4"/>
        <v>1679.72</v>
      </c>
      <c r="E37" s="176">
        <f t="shared" si="4"/>
        <v>768.7400000000001</v>
      </c>
      <c r="F37" s="176">
        <f t="shared" si="4"/>
        <v>563</v>
      </c>
      <c r="G37" s="176">
        <f t="shared" si="4"/>
        <v>29458693</v>
      </c>
      <c r="H37" s="177">
        <f t="shared" si="4"/>
        <v>20915672.03</v>
      </c>
      <c r="I37" s="177">
        <f t="shared" si="2"/>
        <v>1461.4882738392907</v>
      </c>
      <c r="J37" s="177">
        <f t="shared" si="2"/>
        <v>2267.3110143438175</v>
      </c>
      <c r="K37" s="178">
        <f t="shared" si="3"/>
        <v>12.72113676731794</v>
      </c>
      <c r="L37" s="204">
        <f>SUM(L5:L36)</f>
        <v>7009</v>
      </c>
      <c r="M37" s="205">
        <f>SUM(M5:M36)</f>
        <v>285</v>
      </c>
      <c r="N37" s="204">
        <f>SUM(N5:N36)</f>
        <v>7315</v>
      </c>
      <c r="O37" s="205">
        <f>SUM(O5:O36)</f>
        <v>287</v>
      </c>
    </row>
    <row r="38" spans="1:15" ht="12.75">
      <c r="A38" s="206" t="s">
        <v>251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8"/>
      <c r="L38" s="209"/>
      <c r="M38" s="210"/>
      <c r="N38" s="209"/>
      <c r="O38" s="210"/>
    </row>
    <row r="39" spans="1:15" ht="12.75">
      <c r="A39" s="169" t="s">
        <v>157</v>
      </c>
      <c r="B39" s="167">
        <f aca="true" t="shared" si="5" ref="B39:C42">(L39+N39)/2</f>
        <v>308</v>
      </c>
      <c r="C39" s="167">
        <f t="shared" si="5"/>
        <v>13</v>
      </c>
      <c r="D39" s="170">
        <v>70.35</v>
      </c>
      <c r="E39" s="170">
        <v>30.5</v>
      </c>
      <c r="F39" s="170">
        <v>23</v>
      </c>
      <c r="G39" s="170">
        <v>1175789</v>
      </c>
      <c r="H39" s="167">
        <f>G39*0.71</f>
        <v>834810.19</v>
      </c>
      <c r="I39" s="167">
        <f aca="true" t="shared" si="6" ref="I39:J44">(G39/D39)/12</f>
        <v>1392.784885098318</v>
      </c>
      <c r="J39" s="167">
        <f t="shared" si="6"/>
        <v>2280.9021584699453</v>
      </c>
      <c r="K39" s="183">
        <f aca="true" t="shared" si="7" ref="K39:K44">B39/F39</f>
        <v>13.391304347826088</v>
      </c>
      <c r="L39" s="200">
        <v>302</v>
      </c>
      <c r="M39" s="201">
        <v>13</v>
      </c>
      <c r="N39" s="200">
        <v>314</v>
      </c>
      <c r="O39" s="201">
        <v>13</v>
      </c>
    </row>
    <row r="40" spans="1:15" ht="12.75">
      <c r="A40" s="169" t="s">
        <v>158</v>
      </c>
      <c r="B40" s="167">
        <f t="shared" si="5"/>
        <v>357.5</v>
      </c>
      <c r="C40" s="167">
        <f t="shared" si="5"/>
        <v>13</v>
      </c>
      <c r="D40" s="170">
        <v>75.95</v>
      </c>
      <c r="E40" s="170">
        <v>34.25</v>
      </c>
      <c r="F40" s="170">
        <v>28</v>
      </c>
      <c r="G40" s="170">
        <v>1399307</v>
      </c>
      <c r="H40" s="167">
        <f>G40*0.71</f>
        <v>993507.97</v>
      </c>
      <c r="I40" s="167">
        <f t="shared" si="6"/>
        <v>1535.3379416282642</v>
      </c>
      <c r="J40" s="167">
        <f t="shared" si="6"/>
        <v>2417.2943309002435</v>
      </c>
      <c r="K40" s="183">
        <f t="shared" si="7"/>
        <v>12.767857142857142</v>
      </c>
      <c r="L40" s="200">
        <v>332</v>
      </c>
      <c r="M40" s="201">
        <v>12</v>
      </c>
      <c r="N40" s="200">
        <v>383</v>
      </c>
      <c r="O40" s="201">
        <v>14</v>
      </c>
    </row>
    <row r="41" spans="1:15" ht="12.75">
      <c r="A41" s="169" t="s">
        <v>159</v>
      </c>
      <c r="B41" s="167">
        <f t="shared" si="5"/>
        <v>265.5</v>
      </c>
      <c r="C41" s="167">
        <f t="shared" si="5"/>
        <v>12</v>
      </c>
      <c r="D41" s="170">
        <v>77.5</v>
      </c>
      <c r="E41" s="170">
        <v>37.7</v>
      </c>
      <c r="F41" s="170">
        <v>25</v>
      </c>
      <c r="G41" s="170">
        <v>1449453</v>
      </c>
      <c r="H41" s="167">
        <f>G41*0.71</f>
        <v>1029111.63</v>
      </c>
      <c r="I41" s="167">
        <f t="shared" si="6"/>
        <v>1558.5516129032258</v>
      </c>
      <c r="J41" s="167">
        <f t="shared" si="6"/>
        <v>2274.7825596816974</v>
      </c>
      <c r="K41" s="183">
        <f t="shared" si="7"/>
        <v>10.62</v>
      </c>
      <c r="L41" s="200">
        <v>255</v>
      </c>
      <c r="M41" s="201">
        <v>12</v>
      </c>
      <c r="N41" s="200">
        <v>276</v>
      </c>
      <c r="O41" s="201">
        <v>12</v>
      </c>
    </row>
    <row r="42" spans="1:15" ht="13.5" thickBot="1">
      <c r="A42" s="171" t="s">
        <v>160</v>
      </c>
      <c r="B42" s="173">
        <f t="shared" si="5"/>
        <v>245</v>
      </c>
      <c r="C42" s="173">
        <f t="shared" si="5"/>
        <v>12</v>
      </c>
      <c r="D42" s="172">
        <v>73.65</v>
      </c>
      <c r="E42" s="172">
        <v>32.45</v>
      </c>
      <c r="F42" s="172">
        <v>27</v>
      </c>
      <c r="G42" s="172">
        <v>1398921</v>
      </c>
      <c r="H42" s="173">
        <f>G42*0.71</f>
        <v>993233.9099999999</v>
      </c>
      <c r="I42" s="173">
        <f t="shared" si="6"/>
        <v>1582.8479293957907</v>
      </c>
      <c r="J42" s="173">
        <f t="shared" si="6"/>
        <v>2550.677734976887</v>
      </c>
      <c r="K42" s="211">
        <f t="shared" si="7"/>
        <v>9.074074074074074</v>
      </c>
      <c r="L42" s="202">
        <v>240</v>
      </c>
      <c r="M42" s="203">
        <v>12</v>
      </c>
      <c r="N42" s="202">
        <v>250</v>
      </c>
      <c r="O42" s="203">
        <v>12</v>
      </c>
    </row>
    <row r="43" spans="1:15" ht="13.5" thickBot="1">
      <c r="A43" s="175" t="s">
        <v>256</v>
      </c>
      <c r="B43" s="177">
        <f aca="true" t="shared" si="8" ref="B43:H43">SUM(B39:B42)</f>
        <v>1176</v>
      </c>
      <c r="C43" s="176">
        <f t="shared" si="8"/>
        <v>50</v>
      </c>
      <c r="D43" s="184">
        <f t="shared" si="8"/>
        <v>297.45000000000005</v>
      </c>
      <c r="E43" s="184">
        <f t="shared" si="8"/>
        <v>134.9</v>
      </c>
      <c r="F43" s="176">
        <f t="shared" si="8"/>
        <v>103</v>
      </c>
      <c r="G43" s="176">
        <f t="shared" si="8"/>
        <v>5423470</v>
      </c>
      <c r="H43" s="177">
        <f t="shared" si="8"/>
        <v>3850663.7</v>
      </c>
      <c r="I43" s="177">
        <f t="shared" si="6"/>
        <v>1519.4346388748806</v>
      </c>
      <c r="J43" s="177">
        <f t="shared" si="6"/>
        <v>2378.714912280702</v>
      </c>
      <c r="K43" s="178">
        <f t="shared" si="7"/>
        <v>11.41747572815534</v>
      </c>
      <c r="L43" s="204">
        <f>SUM(L39:L42)</f>
        <v>1129</v>
      </c>
      <c r="M43" s="205">
        <f>SUM(M39:M42)</f>
        <v>49</v>
      </c>
      <c r="N43" s="204">
        <f>SUM(N39:N42)</f>
        <v>1223</v>
      </c>
      <c r="O43" s="205">
        <f>SUM(O39:O42)</f>
        <v>51</v>
      </c>
    </row>
    <row r="44" spans="1:15" ht="13.5" thickBot="1">
      <c r="A44" s="175" t="s">
        <v>271</v>
      </c>
      <c r="B44" s="177">
        <f aca="true" t="shared" si="9" ref="B44:H44">B43+B37</f>
        <v>8338</v>
      </c>
      <c r="C44" s="177">
        <f t="shared" si="9"/>
        <v>336</v>
      </c>
      <c r="D44" s="184">
        <f t="shared" si="9"/>
        <v>1977.17</v>
      </c>
      <c r="E44" s="184">
        <f t="shared" si="9"/>
        <v>903.6400000000001</v>
      </c>
      <c r="F44" s="176">
        <f t="shared" si="9"/>
        <v>666</v>
      </c>
      <c r="G44" s="176">
        <f t="shared" si="9"/>
        <v>34882163</v>
      </c>
      <c r="H44" s="177">
        <f t="shared" si="9"/>
        <v>24766335.73</v>
      </c>
      <c r="I44" s="177">
        <f t="shared" si="6"/>
        <v>1470.2058582047403</v>
      </c>
      <c r="J44" s="177">
        <f t="shared" si="6"/>
        <v>2283.941957896212</v>
      </c>
      <c r="K44" s="178">
        <f t="shared" si="7"/>
        <v>12.51951951951952</v>
      </c>
      <c r="L44" s="204">
        <f>L43+L37</f>
        <v>8138</v>
      </c>
      <c r="M44" s="205">
        <f>M43+M37</f>
        <v>334</v>
      </c>
      <c r="N44" s="204">
        <f>N43+N37</f>
        <v>8538</v>
      </c>
      <c r="O44" s="205">
        <f>O43+O37</f>
        <v>338</v>
      </c>
    </row>
  </sheetData>
  <mergeCells count="18">
    <mergeCell ref="M3:M4"/>
    <mergeCell ref="N3:N4"/>
    <mergeCell ref="O3:O4"/>
    <mergeCell ref="A38:K38"/>
    <mergeCell ref="I3:I4"/>
    <mergeCell ref="J3:J4"/>
    <mergeCell ref="K3:K4"/>
    <mergeCell ref="L3:L4"/>
    <mergeCell ref="A1:K1"/>
    <mergeCell ref="L2:M2"/>
    <mergeCell ref="N2:O2"/>
    <mergeCell ref="A3:A4"/>
    <mergeCell ref="B3:B4"/>
    <mergeCell ref="C3:C4"/>
    <mergeCell ref="D3:D4"/>
    <mergeCell ref="E3:E4"/>
    <mergeCell ref="F3:F4"/>
    <mergeCell ref="G3:H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6">
      <selection activeCell="A1" sqref="A1:K44"/>
    </sheetView>
  </sheetViews>
  <sheetFormatPr defaultColWidth="9.00390625" defaultRowHeight="12.75"/>
  <sheetData>
    <row r="1" spans="1:11" ht="15.75">
      <c r="A1" s="154" t="s">
        <v>272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ht="13.5" thickBot="1">
      <c r="K2" s="155" t="s">
        <v>273</v>
      </c>
    </row>
    <row r="3" spans="1:11" ht="12.75">
      <c r="A3" s="156" t="s">
        <v>235</v>
      </c>
      <c r="B3" s="157" t="s">
        <v>267</v>
      </c>
      <c r="C3" s="157" t="s">
        <v>268</v>
      </c>
      <c r="D3" s="157" t="s">
        <v>238</v>
      </c>
      <c r="E3" s="157" t="s">
        <v>239</v>
      </c>
      <c r="F3" s="157" t="s">
        <v>240</v>
      </c>
      <c r="G3" s="158" t="s">
        <v>274</v>
      </c>
      <c r="H3" s="159"/>
      <c r="I3" s="157" t="s">
        <v>242</v>
      </c>
      <c r="J3" s="157" t="s">
        <v>243</v>
      </c>
      <c r="K3" s="160" t="s">
        <v>270</v>
      </c>
    </row>
    <row r="4" spans="1:11" ht="26.25" thickBot="1">
      <c r="A4" s="161"/>
      <c r="B4" s="162"/>
      <c r="C4" s="162"/>
      <c r="D4" s="162"/>
      <c r="E4" s="162"/>
      <c r="F4" s="162"/>
      <c r="G4" s="163" t="s">
        <v>245</v>
      </c>
      <c r="H4" s="197" t="s">
        <v>246</v>
      </c>
      <c r="I4" s="162"/>
      <c r="J4" s="162"/>
      <c r="K4" s="164"/>
    </row>
    <row r="5" spans="1:11" ht="12.75">
      <c r="A5" s="169" t="s">
        <v>56</v>
      </c>
      <c r="B5" s="166">
        <v>143</v>
      </c>
      <c r="C5" s="166">
        <v>6</v>
      </c>
      <c r="D5" s="166">
        <v>34.91</v>
      </c>
      <c r="E5" s="166">
        <v>15.31</v>
      </c>
      <c r="F5" s="166">
        <v>8</v>
      </c>
      <c r="G5" s="166">
        <v>383254</v>
      </c>
      <c r="H5" s="167">
        <f aca="true" t="shared" si="0" ref="H5:H36">G5*0.71</f>
        <v>272110.33999999997</v>
      </c>
      <c r="I5" s="167">
        <f aca="true" t="shared" si="1" ref="I5:J37">(G5/D5)/6</f>
        <v>1829.7240523250264</v>
      </c>
      <c r="J5" s="167">
        <f t="shared" si="1"/>
        <v>2962.22882647507</v>
      </c>
      <c r="K5" s="168">
        <f aca="true" t="shared" si="2" ref="K5:K37">B5/F5</f>
        <v>17.875</v>
      </c>
    </row>
    <row r="6" spans="1:11" ht="12.75">
      <c r="A6" s="169" t="s">
        <v>57</v>
      </c>
      <c r="B6" s="170">
        <v>266</v>
      </c>
      <c r="C6" s="170">
        <v>10</v>
      </c>
      <c r="D6" s="170">
        <v>55.87</v>
      </c>
      <c r="E6" s="170">
        <v>25.02</v>
      </c>
      <c r="F6" s="170">
        <v>19</v>
      </c>
      <c r="G6" s="170">
        <v>567284</v>
      </c>
      <c r="H6" s="167">
        <f t="shared" si="0"/>
        <v>402771.63999999996</v>
      </c>
      <c r="I6" s="167">
        <f t="shared" si="1"/>
        <v>1692.2737306843267</v>
      </c>
      <c r="J6" s="167">
        <f t="shared" si="1"/>
        <v>2682.9978683719687</v>
      </c>
      <c r="K6" s="168">
        <f t="shared" si="2"/>
        <v>14</v>
      </c>
    </row>
    <row r="7" spans="1:11" ht="12.75">
      <c r="A7" s="169" t="s">
        <v>58</v>
      </c>
      <c r="B7" s="170">
        <v>112</v>
      </c>
      <c r="C7" s="170">
        <v>5</v>
      </c>
      <c r="D7" s="170">
        <v>32.06</v>
      </c>
      <c r="E7" s="170">
        <v>13.11</v>
      </c>
      <c r="F7" s="170">
        <v>10</v>
      </c>
      <c r="G7" s="170">
        <v>343260</v>
      </c>
      <c r="H7" s="167">
        <f t="shared" si="0"/>
        <v>243714.59999999998</v>
      </c>
      <c r="I7" s="167">
        <f t="shared" si="1"/>
        <v>1784.4666250779785</v>
      </c>
      <c r="J7" s="167">
        <f t="shared" si="1"/>
        <v>3098.329519450801</v>
      </c>
      <c r="K7" s="168">
        <f t="shared" si="2"/>
        <v>11.2</v>
      </c>
    </row>
    <row r="8" spans="1:11" ht="12.75">
      <c r="A8" s="169" t="s">
        <v>59</v>
      </c>
      <c r="B8" s="170">
        <v>186</v>
      </c>
      <c r="C8" s="170">
        <v>7</v>
      </c>
      <c r="D8" s="170">
        <v>44.15</v>
      </c>
      <c r="E8" s="170">
        <v>20.85</v>
      </c>
      <c r="F8" s="170">
        <v>13</v>
      </c>
      <c r="G8" s="170">
        <v>561958</v>
      </c>
      <c r="H8" s="167">
        <f t="shared" si="0"/>
        <v>398990.18</v>
      </c>
      <c r="I8" s="167">
        <f t="shared" si="1"/>
        <v>2121.396753491884</v>
      </c>
      <c r="J8" s="167">
        <f t="shared" si="1"/>
        <v>3189.369944044764</v>
      </c>
      <c r="K8" s="168">
        <f t="shared" si="2"/>
        <v>14.307692307692308</v>
      </c>
    </row>
    <row r="9" spans="1:11" ht="12.75">
      <c r="A9" s="169" t="s">
        <v>94</v>
      </c>
      <c r="B9" s="170">
        <v>142</v>
      </c>
      <c r="C9" s="170">
        <v>6</v>
      </c>
      <c r="D9" s="170">
        <v>34.96</v>
      </c>
      <c r="E9" s="170">
        <v>15.31</v>
      </c>
      <c r="F9" s="170">
        <v>12</v>
      </c>
      <c r="G9" s="170">
        <v>367298</v>
      </c>
      <c r="H9" s="167">
        <f t="shared" si="0"/>
        <v>260781.58</v>
      </c>
      <c r="I9" s="167">
        <f t="shared" si="1"/>
        <v>1751.0392829900838</v>
      </c>
      <c r="J9" s="167">
        <f t="shared" si="1"/>
        <v>2838.9024602656214</v>
      </c>
      <c r="K9" s="168">
        <f t="shared" si="2"/>
        <v>11.833333333333334</v>
      </c>
    </row>
    <row r="10" spans="1:11" ht="12.75">
      <c r="A10" s="169" t="s">
        <v>60</v>
      </c>
      <c r="B10" s="170">
        <v>117</v>
      </c>
      <c r="C10" s="170">
        <v>5</v>
      </c>
      <c r="D10" s="170">
        <v>32.985</v>
      </c>
      <c r="E10" s="170">
        <v>13.735</v>
      </c>
      <c r="F10" s="170">
        <v>11</v>
      </c>
      <c r="G10" s="170">
        <v>381742</v>
      </c>
      <c r="H10" s="167">
        <f t="shared" si="0"/>
        <v>271036.82</v>
      </c>
      <c r="I10" s="167">
        <f t="shared" si="1"/>
        <v>1928.866656561063</v>
      </c>
      <c r="J10" s="167">
        <f t="shared" si="1"/>
        <v>3288.882659871375</v>
      </c>
      <c r="K10" s="168">
        <f t="shared" si="2"/>
        <v>10.636363636363637</v>
      </c>
    </row>
    <row r="11" spans="1:11" ht="12.75">
      <c r="A11" s="169" t="s">
        <v>61</v>
      </c>
      <c r="B11" s="170">
        <v>69</v>
      </c>
      <c r="C11" s="170">
        <v>3</v>
      </c>
      <c r="D11" s="170">
        <v>20.16</v>
      </c>
      <c r="E11" s="170">
        <v>7.41</v>
      </c>
      <c r="F11" s="170">
        <v>6</v>
      </c>
      <c r="G11" s="170">
        <v>212945</v>
      </c>
      <c r="H11" s="167">
        <f t="shared" si="0"/>
        <v>151190.94999999998</v>
      </c>
      <c r="I11" s="167">
        <f t="shared" si="1"/>
        <v>1760.4580026455026</v>
      </c>
      <c r="J11" s="167">
        <f t="shared" si="1"/>
        <v>3400.6061628430048</v>
      </c>
      <c r="K11" s="168">
        <f t="shared" si="2"/>
        <v>11.5</v>
      </c>
    </row>
    <row r="12" spans="1:11" ht="12.75">
      <c r="A12" s="169" t="s">
        <v>62</v>
      </c>
      <c r="B12" s="170">
        <v>96</v>
      </c>
      <c r="C12" s="170">
        <v>7</v>
      </c>
      <c r="D12" s="170">
        <v>45.29</v>
      </c>
      <c r="E12" s="170">
        <v>22.615</v>
      </c>
      <c r="F12" s="170">
        <v>14</v>
      </c>
      <c r="G12" s="170">
        <v>585479</v>
      </c>
      <c r="H12" s="167">
        <f t="shared" si="0"/>
        <v>415690.08999999997</v>
      </c>
      <c r="I12" s="167">
        <f t="shared" si="1"/>
        <v>2154.555825421359</v>
      </c>
      <c r="J12" s="167">
        <f t="shared" si="1"/>
        <v>3063.527820767927</v>
      </c>
      <c r="K12" s="168">
        <f t="shared" si="2"/>
        <v>6.857142857142857</v>
      </c>
    </row>
    <row r="13" spans="1:11" ht="12.75">
      <c r="A13" s="169" t="s">
        <v>63</v>
      </c>
      <c r="B13" s="170">
        <v>207</v>
      </c>
      <c r="C13" s="170">
        <v>8</v>
      </c>
      <c r="D13" s="170">
        <v>45.86</v>
      </c>
      <c r="E13" s="170">
        <v>20.41</v>
      </c>
      <c r="F13" s="170">
        <v>16</v>
      </c>
      <c r="G13" s="170">
        <v>489967</v>
      </c>
      <c r="H13" s="167">
        <f t="shared" si="0"/>
        <v>347876.57</v>
      </c>
      <c r="I13" s="167">
        <f t="shared" si="1"/>
        <v>1780.662160197703</v>
      </c>
      <c r="J13" s="167">
        <f t="shared" si="1"/>
        <v>2840.7363220643474</v>
      </c>
      <c r="K13" s="168">
        <f t="shared" si="2"/>
        <v>12.9375</v>
      </c>
    </row>
    <row r="14" spans="1:11" ht="12.75">
      <c r="A14" s="169" t="s">
        <v>64</v>
      </c>
      <c r="B14" s="170">
        <v>309</v>
      </c>
      <c r="C14" s="170">
        <v>12</v>
      </c>
      <c r="D14" s="170">
        <v>40.66</v>
      </c>
      <c r="E14" s="170">
        <v>31.86</v>
      </c>
      <c r="F14" s="170">
        <v>20</v>
      </c>
      <c r="G14" s="170">
        <v>796445</v>
      </c>
      <c r="H14" s="167">
        <f t="shared" si="0"/>
        <v>565475.95</v>
      </c>
      <c r="I14" s="167">
        <f t="shared" si="1"/>
        <v>3264.6540416461717</v>
      </c>
      <c r="J14" s="167">
        <f t="shared" si="1"/>
        <v>2958.129054195438</v>
      </c>
      <c r="K14" s="168">
        <f t="shared" si="2"/>
        <v>15.45</v>
      </c>
    </row>
    <row r="15" spans="1:11" ht="12.75">
      <c r="A15" s="169" t="s">
        <v>65</v>
      </c>
      <c r="B15" s="170">
        <v>382</v>
      </c>
      <c r="C15" s="170">
        <v>13</v>
      </c>
      <c r="D15" s="170">
        <v>74.61</v>
      </c>
      <c r="E15" s="170">
        <v>34.51</v>
      </c>
      <c r="F15" s="170">
        <v>27</v>
      </c>
      <c r="G15" s="170">
        <v>848592</v>
      </c>
      <c r="H15" s="167">
        <f t="shared" si="0"/>
        <v>602500.32</v>
      </c>
      <c r="I15" s="167">
        <f t="shared" si="1"/>
        <v>1895.6172094893445</v>
      </c>
      <c r="J15" s="167">
        <f t="shared" si="1"/>
        <v>2909.7861489423353</v>
      </c>
      <c r="K15" s="168">
        <f t="shared" si="2"/>
        <v>14.148148148148149</v>
      </c>
    </row>
    <row r="16" spans="1:11" ht="12.75">
      <c r="A16" s="169" t="s">
        <v>66</v>
      </c>
      <c r="B16" s="170">
        <v>94</v>
      </c>
      <c r="C16" s="170">
        <v>4</v>
      </c>
      <c r="D16" s="170">
        <v>25.91</v>
      </c>
      <c r="E16" s="170">
        <v>9.96</v>
      </c>
      <c r="F16" s="170">
        <v>8</v>
      </c>
      <c r="G16" s="170">
        <v>292178</v>
      </c>
      <c r="H16" s="167">
        <f t="shared" si="0"/>
        <v>207446.37999999998</v>
      </c>
      <c r="I16" s="167">
        <f t="shared" si="1"/>
        <v>1879.4416570178826</v>
      </c>
      <c r="J16" s="167">
        <f t="shared" si="1"/>
        <v>3471.324966532797</v>
      </c>
      <c r="K16" s="168">
        <f t="shared" si="2"/>
        <v>11.75</v>
      </c>
    </row>
    <row r="17" spans="1:11" ht="12.75">
      <c r="A17" s="169" t="s">
        <v>67</v>
      </c>
      <c r="B17" s="170">
        <v>158</v>
      </c>
      <c r="C17" s="170">
        <v>7</v>
      </c>
      <c r="D17" s="170">
        <v>47.915</v>
      </c>
      <c r="E17" s="170">
        <v>22.74</v>
      </c>
      <c r="F17" s="170">
        <v>15</v>
      </c>
      <c r="G17" s="170">
        <v>636514</v>
      </c>
      <c r="H17" s="167">
        <f t="shared" si="0"/>
        <v>451924.94</v>
      </c>
      <c r="I17" s="167">
        <f t="shared" si="1"/>
        <v>2214.0387491738843</v>
      </c>
      <c r="J17" s="167">
        <f t="shared" si="1"/>
        <v>3312.2613603048962</v>
      </c>
      <c r="K17" s="168">
        <f t="shared" si="2"/>
        <v>10.533333333333333</v>
      </c>
    </row>
    <row r="18" spans="1:11" ht="12.75">
      <c r="A18" s="169" t="s">
        <v>68</v>
      </c>
      <c r="B18" s="170">
        <v>190</v>
      </c>
      <c r="C18" s="170">
        <v>7</v>
      </c>
      <c r="D18" s="170">
        <v>40.66</v>
      </c>
      <c r="E18" s="170">
        <v>17.11</v>
      </c>
      <c r="F18" s="170">
        <v>14</v>
      </c>
      <c r="G18" s="170">
        <v>492635</v>
      </c>
      <c r="H18" s="167">
        <f t="shared" si="0"/>
        <v>349770.85</v>
      </c>
      <c r="I18" s="167">
        <f t="shared" si="1"/>
        <v>2019.3269388424333</v>
      </c>
      <c r="J18" s="167">
        <f t="shared" si="1"/>
        <v>3407.0801675433468</v>
      </c>
      <c r="K18" s="168">
        <f t="shared" si="2"/>
        <v>13.571428571428571</v>
      </c>
    </row>
    <row r="19" spans="1:11" ht="12.75">
      <c r="A19" s="169" t="s">
        <v>69</v>
      </c>
      <c r="B19" s="170">
        <v>171</v>
      </c>
      <c r="C19" s="170">
        <v>6</v>
      </c>
      <c r="D19" s="170">
        <v>39.95</v>
      </c>
      <c r="E19" s="170">
        <v>18.9</v>
      </c>
      <c r="F19" s="170">
        <v>12</v>
      </c>
      <c r="G19" s="170">
        <v>433790</v>
      </c>
      <c r="H19" s="167">
        <f t="shared" si="0"/>
        <v>307990.89999999997</v>
      </c>
      <c r="I19" s="167">
        <f t="shared" si="1"/>
        <v>1809.720483938256</v>
      </c>
      <c r="J19" s="167">
        <f t="shared" si="1"/>
        <v>2715.969135802469</v>
      </c>
      <c r="K19" s="168">
        <f t="shared" si="2"/>
        <v>14.25</v>
      </c>
    </row>
    <row r="20" spans="1:11" ht="12.75">
      <c r="A20" s="169" t="s">
        <v>90</v>
      </c>
      <c r="B20" s="170">
        <v>258</v>
      </c>
      <c r="C20" s="170">
        <v>11</v>
      </c>
      <c r="D20" s="170">
        <v>63.56</v>
      </c>
      <c r="E20" s="170">
        <v>29.81</v>
      </c>
      <c r="F20" s="170">
        <v>19</v>
      </c>
      <c r="G20" s="170">
        <v>641897</v>
      </c>
      <c r="H20" s="167">
        <f t="shared" si="0"/>
        <v>455746.87</v>
      </c>
      <c r="I20" s="167">
        <f t="shared" si="1"/>
        <v>1683.1786238724565</v>
      </c>
      <c r="J20" s="167">
        <f t="shared" si="1"/>
        <v>2548.0647992843565</v>
      </c>
      <c r="K20" s="168">
        <f t="shared" si="2"/>
        <v>13.578947368421053</v>
      </c>
    </row>
    <row r="21" spans="1:11" ht="12.75">
      <c r="A21" s="169" t="s">
        <v>70</v>
      </c>
      <c r="B21" s="170">
        <v>225</v>
      </c>
      <c r="C21" s="170">
        <v>9</v>
      </c>
      <c r="D21" s="170">
        <v>53.66</v>
      </c>
      <c r="E21" s="170">
        <v>25.71</v>
      </c>
      <c r="F21" s="170">
        <v>17</v>
      </c>
      <c r="G21" s="170">
        <v>662735</v>
      </c>
      <c r="H21" s="167">
        <f t="shared" si="0"/>
        <v>470541.85</v>
      </c>
      <c r="I21" s="167">
        <f t="shared" si="1"/>
        <v>2058.4389365138527</v>
      </c>
      <c r="J21" s="167">
        <f t="shared" si="1"/>
        <v>3050.316673149228</v>
      </c>
      <c r="K21" s="168">
        <f t="shared" si="2"/>
        <v>13.235294117647058</v>
      </c>
    </row>
    <row r="22" spans="1:11" ht="12.75">
      <c r="A22" s="169" t="s">
        <v>71</v>
      </c>
      <c r="B22" s="170">
        <v>163</v>
      </c>
      <c r="C22" s="170">
        <v>8</v>
      </c>
      <c r="D22" s="170">
        <v>53.76</v>
      </c>
      <c r="E22" s="170">
        <v>27.46</v>
      </c>
      <c r="F22" s="170">
        <v>18</v>
      </c>
      <c r="G22" s="170">
        <v>838418</v>
      </c>
      <c r="H22" s="167">
        <f t="shared" si="0"/>
        <v>595276.78</v>
      </c>
      <c r="I22" s="167">
        <f t="shared" si="1"/>
        <v>2599.262152777778</v>
      </c>
      <c r="J22" s="167">
        <f t="shared" si="1"/>
        <v>3612.9933236222387</v>
      </c>
      <c r="K22" s="168">
        <f t="shared" si="2"/>
        <v>9.055555555555555</v>
      </c>
    </row>
    <row r="23" spans="1:11" ht="12.75">
      <c r="A23" s="169" t="s">
        <v>72</v>
      </c>
      <c r="B23" s="170">
        <v>295</v>
      </c>
      <c r="C23" s="170">
        <v>12</v>
      </c>
      <c r="D23" s="170">
        <v>71.13</v>
      </c>
      <c r="E23" s="170">
        <v>34.63</v>
      </c>
      <c r="F23" s="170">
        <v>22</v>
      </c>
      <c r="G23" s="170">
        <v>821783</v>
      </c>
      <c r="H23" s="167">
        <f t="shared" si="0"/>
        <v>583465.9299999999</v>
      </c>
      <c r="I23" s="167">
        <f t="shared" si="1"/>
        <v>1925.5424340409581</v>
      </c>
      <c r="J23" s="167">
        <f t="shared" si="1"/>
        <v>2808.0947636923665</v>
      </c>
      <c r="K23" s="168">
        <f t="shared" si="2"/>
        <v>13.409090909090908</v>
      </c>
    </row>
    <row r="24" spans="1:11" ht="12.75">
      <c r="A24" s="169" t="s">
        <v>91</v>
      </c>
      <c r="B24" s="170">
        <v>225</v>
      </c>
      <c r="C24" s="170">
        <v>11</v>
      </c>
      <c r="D24" s="170">
        <v>58.97</v>
      </c>
      <c r="E24" s="170">
        <v>27.07</v>
      </c>
      <c r="F24" s="170">
        <v>20</v>
      </c>
      <c r="G24" s="170">
        <v>626198</v>
      </c>
      <c r="H24" s="167">
        <f t="shared" si="0"/>
        <v>444600.57999999996</v>
      </c>
      <c r="I24" s="167">
        <f t="shared" si="1"/>
        <v>1769.8208128426884</v>
      </c>
      <c r="J24" s="167">
        <f t="shared" si="1"/>
        <v>2737.3511882773055</v>
      </c>
      <c r="K24" s="168">
        <f t="shared" si="2"/>
        <v>11.25</v>
      </c>
    </row>
    <row r="25" spans="1:11" ht="12.75">
      <c r="A25" s="169" t="s">
        <v>73</v>
      </c>
      <c r="B25" s="170">
        <v>379</v>
      </c>
      <c r="C25" s="170">
        <v>11</v>
      </c>
      <c r="D25" s="170">
        <v>61.82</v>
      </c>
      <c r="E25" s="170">
        <v>27.67</v>
      </c>
      <c r="F25" s="170">
        <v>20</v>
      </c>
      <c r="G25" s="170">
        <v>678514</v>
      </c>
      <c r="H25" s="167">
        <f t="shared" si="0"/>
        <v>481744.94</v>
      </c>
      <c r="I25" s="167">
        <f t="shared" si="1"/>
        <v>1829.2731586325892</v>
      </c>
      <c r="J25" s="167">
        <f t="shared" si="1"/>
        <v>2901.7283459824116</v>
      </c>
      <c r="K25" s="168">
        <f t="shared" si="2"/>
        <v>18.95</v>
      </c>
    </row>
    <row r="26" spans="1:11" ht="12.75">
      <c r="A26" s="169" t="s">
        <v>74</v>
      </c>
      <c r="B26" s="170">
        <v>258</v>
      </c>
      <c r="C26" s="170">
        <v>11</v>
      </c>
      <c r="D26" s="170">
        <v>61.71</v>
      </c>
      <c r="E26" s="170">
        <v>29.81</v>
      </c>
      <c r="F26" s="170">
        <v>22</v>
      </c>
      <c r="G26" s="170">
        <v>679420</v>
      </c>
      <c r="H26" s="167">
        <f t="shared" si="0"/>
        <v>482388.19999999995</v>
      </c>
      <c r="I26" s="167">
        <f t="shared" si="1"/>
        <v>1834.980824285637</v>
      </c>
      <c r="J26" s="167">
        <f t="shared" si="1"/>
        <v>2697.0155428827015</v>
      </c>
      <c r="K26" s="168">
        <f t="shared" si="2"/>
        <v>11.727272727272727</v>
      </c>
    </row>
    <row r="27" spans="1:11" ht="12.75">
      <c r="A27" s="169" t="s">
        <v>75</v>
      </c>
      <c r="B27" s="170">
        <v>300</v>
      </c>
      <c r="C27" s="170">
        <v>11</v>
      </c>
      <c r="D27" s="170">
        <v>61.88</v>
      </c>
      <c r="E27" s="170">
        <v>26.7</v>
      </c>
      <c r="F27" s="170">
        <v>19</v>
      </c>
      <c r="G27" s="170">
        <v>685185</v>
      </c>
      <c r="H27" s="167">
        <f t="shared" si="0"/>
        <v>486481.35</v>
      </c>
      <c r="I27" s="167">
        <f t="shared" si="1"/>
        <v>1845.4670329670328</v>
      </c>
      <c r="J27" s="167">
        <f t="shared" si="1"/>
        <v>3036.7125468164795</v>
      </c>
      <c r="K27" s="168">
        <f t="shared" si="2"/>
        <v>15.789473684210526</v>
      </c>
    </row>
    <row r="28" spans="1:11" ht="12.75">
      <c r="A28" s="169" t="s">
        <v>76</v>
      </c>
      <c r="B28" s="170">
        <v>275</v>
      </c>
      <c r="C28" s="170">
        <v>11</v>
      </c>
      <c r="D28" s="170">
        <v>63.81</v>
      </c>
      <c r="E28" s="170">
        <v>30.41</v>
      </c>
      <c r="F28" s="170">
        <v>23</v>
      </c>
      <c r="G28" s="170">
        <v>781389</v>
      </c>
      <c r="H28" s="167">
        <f t="shared" si="0"/>
        <v>554786.19</v>
      </c>
      <c r="I28" s="167">
        <f t="shared" si="1"/>
        <v>2040.9261871180063</v>
      </c>
      <c r="J28" s="167">
        <f t="shared" si="1"/>
        <v>3040.590759618546</v>
      </c>
      <c r="K28" s="168">
        <f t="shared" si="2"/>
        <v>11.956521739130435</v>
      </c>
    </row>
    <row r="29" spans="1:11" ht="12.75">
      <c r="A29" s="169" t="s">
        <v>77</v>
      </c>
      <c r="B29" s="170">
        <v>338</v>
      </c>
      <c r="C29" s="170">
        <v>11</v>
      </c>
      <c r="D29" s="170">
        <v>64.96</v>
      </c>
      <c r="E29" s="170">
        <v>30.41</v>
      </c>
      <c r="F29" s="170">
        <v>27</v>
      </c>
      <c r="G29" s="170">
        <v>671691</v>
      </c>
      <c r="H29" s="167">
        <f t="shared" si="0"/>
        <v>476900.61</v>
      </c>
      <c r="I29" s="167">
        <f t="shared" si="1"/>
        <v>1723.3451354679803</v>
      </c>
      <c r="J29" s="167">
        <f t="shared" si="1"/>
        <v>2613.7268990463663</v>
      </c>
      <c r="K29" s="168">
        <f t="shared" si="2"/>
        <v>12.518518518518519</v>
      </c>
    </row>
    <row r="30" spans="1:11" ht="12.75">
      <c r="A30" s="169" t="s">
        <v>78</v>
      </c>
      <c r="B30" s="170">
        <v>171</v>
      </c>
      <c r="C30" s="170">
        <v>7</v>
      </c>
      <c r="D30" s="170">
        <v>43.41</v>
      </c>
      <c r="E30" s="170">
        <v>18.71</v>
      </c>
      <c r="F30" s="170">
        <v>17</v>
      </c>
      <c r="G30" s="170">
        <v>450733</v>
      </c>
      <c r="H30" s="167">
        <f t="shared" si="0"/>
        <v>320020.43</v>
      </c>
      <c r="I30" s="167">
        <f t="shared" si="1"/>
        <v>1730.5267603470784</v>
      </c>
      <c r="J30" s="167">
        <f t="shared" si="1"/>
        <v>2850.707553892749</v>
      </c>
      <c r="K30" s="168">
        <f t="shared" si="2"/>
        <v>10.058823529411764</v>
      </c>
    </row>
    <row r="31" spans="1:11" ht="12.75">
      <c r="A31" s="169" t="s">
        <v>79</v>
      </c>
      <c r="B31" s="170">
        <v>320</v>
      </c>
      <c r="C31" s="170">
        <v>12</v>
      </c>
      <c r="D31" s="170">
        <v>81.83</v>
      </c>
      <c r="E31" s="170">
        <v>38.44</v>
      </c>
      <c r="F31" s="170">
        <v>23</v>
      </c>
      <c r="G31" s="170">
        <v>1124632</v>
      </c>
      <c r="H31" s="167">
        <f t="shared" si="0"/>
        <v>798488.72</v>
      </c>
      <c r="I31" s="167">
        <f t="shared" si="1"/>
        <v>2290.5861745895963</v>
      </c>
      <c r="J31" s="167">
        <f t="shared" si="1"/>
        <v>3462.0565383281305</v>
      </c>
      <c r="K31" s="168">
        <f t="shared" si="2"/>
        <v>13.91304347826087</v>
      </c>
    </row>
    <row r="32" spans="1:11" ht="12.75">
      <c r="A32" s="169" t="s">
        <v>80</v>
      </c>
      <c r="B32" s="170">
        <v>305</v>
      </c>
      <c r="C32" s="170">
        <v>11</v>
      </c>
      <c r="D32" s="170">
        <v>62.23</v>
      </c>
      <c r="E32" s="170">
        <v>28.43</v>
      </c>
      <c r="F32" s="170">
        <v>19</v>
      </c>
      <c r="G32" s="170">
        <v>675151</v>
      </c>
      <c r="H32" s="167">
        <f t="shared" si="0"/>
        <v>479357.20999999996</v>
      </c>
      <c r="I32" s="167">
        <f t="shared" si="1"/>
        <v>1808.2141518024534</v>
      </c>
      <c r="J32" s="167">
        <f t="shared" si="1"/>
        <v>2810.1606870676515</v>
      </c>
      <c r="K32" s="168">
        <f t="shared" si="2"/>
        <v>16.05263157894737</v>
      </c>
    </row>
    <row r="33" spans="1:11" ht="12.75">
      <c r="A33" s="169" t="s">
        <v>81</v>
      </c>
      <c r="B33" s="170">
        <v>315</v>
      </c>
      <c r="C33" s="170">
        <v>11</v>
      </c>
      <c r="D33" s="170">
        <v>64.31</v>
      </c>
      <c r="E33" s="170">
        <v>30.41</v>
      </c>
      <c r="F33" s="170">
        <v>19</v>
      </c>
      <c r="G33" s="170">
        <v>721698</v>
      </c>
      <c r="H33" s="167">
        <f t="shared" si="0"/>
        <v>512405.57999999996</v>
      </c>
      <c r="I33" s="167">
        <f t="shared" si="1"/>
        <v>1870.3623075726946</v>
      </c>
      <c r="J33" s="167">
        <f t="shared" si="1"/>
        <v>2808.317329825715</v>
      </c>
      <c r="K33" s="168">
        <f t="shared" si="2"/>
        <v>16.57894736842105</v>
      </c>
    </row>
    <row r="34" spans="1:11" ht="12.75">
      <c r="A34" s="169" t="s">
        <v>82</v>
      </c>
      <c r="B34" s="170">
        <v>284</v>
      </c>
      <c r="C34" s="170">
        <v>12</v>
      </c>
      <c r="D34" s="170">
        <v>71.41</v>
      </c>
      <c r="E34" s="170">
        <v>32.46</v>
      </c>
      <c r="F34" s="170">
        <v>24</v>
      </c>
      <c r="G34" s="170">
        <v>703089</v>
      </c>
      <c r="H34" s="167">
        <f t="shared" si="0"/>
        <v>499193.19</v>
      </c>
      <c r="I34" s="167">
        <f t="shared" si="1"/>
        <v>1640.9676515894134</v>
      </c>
      <c r="J34" s="167">
        <f t="shared" si="1"/>
        <v>2563.119685767098</v>
      </c>
      <c r="K34" s="168">
        <f t="shared" si="2"/>
        <v>11.833333333333334</v>
      </c>
    </row>
    <row r="35" spans="1:11" ht="12.75">
      <c r="A35" s="169" t="s">
        <v>83</v>
      </c>
      <c r="B35" s="170">
        <v>282</v>
      </c>
      <c r="C35" s="170">
        <v>11</v>
      </c>
      <c r="D35" s="170">
        <v>61.71</v>
      </c>
      <c r="E35" s="170">
        <v>29.81</v>
      </c>
      <c r="F35" s="170">
        <v>22</v>
      </c>
      <c r="G35" s="170">
        <v>720203</v>
      </c>
      <c r="H35" s="167">
        <f t="shared" si="0"/>
        <v>511344.12999999995</v>
      </c>
      <c r="I35" s="167">
        <f t="shared" si="1"/>
        <v>1945.1277480689243</v>
      </c>
      <c r="J35" s="167">
        <f t="shared" si="1"/>
        <v>2858.9071340713404</v>
      </c>
      <c r="K35" s="168">
        <f t="shared" si="2"/>
        <v>12.818181818181818</v>
      </c>
    </row>
    <row r="36" spans="1:11" ht="13.5" thickBot="1">
      <c r="A36" s="171" t="s">
        <v>84</v>
      </c>
      <c r="B36" s="172">
        <v>280</v>
      </c>
      <c r="C36" s="172">
        <v>11</v>
      </c>
      <c r="D36" s="172">
        <v>62.86</v>
      </c>
      <c r="E36" s="172">
        <v>29.81</v>
      </c>
      <c r="F36" s="172">
        <v>22</v>
      </c>
      <c r="G36" s="172">
        <v>788546</v>
      </c>
      <c r="H36" s="173">
        <f t="shared" si="0"/>
        <v>559867.6599999999</v>
      </c>
      <c r="I36" s="173">
        <f t="shared" si="1"/>
        <v>2090.7466327288153</v>
      </c>
      <c r="J36" s="173">
        <f t="shared" si="1"/>
        <v>3130.20049200492</v>
      </c>
      <c r="K36" s="174">
        <f t="shared" si="2"/>
        <v>12.727272727272727</v>
      </c>
    </row>
    <row r="37" spans="1:11" ht="13.5" thickBot="1">
      <c r="A37" s="175" t="s">
        <v>250</v>
      </c>
      <c r="B37" s="176">
        <f aca="true" t="shared" si="3" ref="B37:H37">SUM(B5:B36)</f>
        <v>7315</v>
      </c>
      <c r="C37" s="176">
        <f t="shared" si="3"/>
        <v>287</v>
      </c>
      <c r="D37" s="176">
        <f t="shared" si="3"/>
        <v>1678.97</v>
      </c>
      <c r="E37" s="184">
        <f t="shared" si="3"/>
        <v>786.5999999999997</v>
      </c>
      <c r="F37" s="176">
        <f t="shared" si="3"/>
        <v>558</v>
      </c>
      <c r="G37" s="176">
        <f t="shared" si="3"/>
        <v>19664623</v>
      </c>
      <c r="H37" s="177">
        <f t="shared" si="3"/>
        <v>13961882.33</v>
      </c>
      <c r="I37" s="177">
        <f t="shared" si="1"/>
        <v>1952.0522502883712</v>
      </c>
      <c r="J37" s="177">
        <f t="shared" si="1"/>
        <v>2958.276618781254</v>
      </c>
      <c r="K37" s="178">
        <f t="shared" si="2"/>
        <v>13.109318996415771</v>
      </c>
    </row>
    <row r="38" spans="1:11" ht="12.75">
      <c r="A38" s="206" t="s">
        <v>251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8"/>
    </row>
    <row r="39" spans="1:11" ht="12.75">
      <c r="A39" s="169" t="s">
        <v>157</v>
      </c>
      <c r="B39" s="170">
        <v>314</v>
      </c>
      <c r="C39" s="170">
        <v>13</v>
      </c>
      <c r="D39" s="170">
        <v>71.52</v>
      </c>
      <c r="E39" s="170">
        <v>31.67</v>
      </c>
      <c r="F39" s="170">
        <v>23</v>
      </c>
      <c r="G39" s="170">
        <v>778329</v>
      </c>
      <c r="H39" s="167">
        <f>G39*0.71</f>
        <v>552613.59</v>
      </c>
      <c r="I39" s="167">
        <f aca="true" t="shared" si="4" ref="I39:J44">(G39/D39)/6</f>
        <v>1813.7793624161075</v>
      </c>
      <c r="J39" s="167">
        <f t="shared" si="4"/>
        <v>2908.1864540574675</v>
      </c>
      <c r="K39" s="168">
        <f aca="true" t="shared" si="5" ref="K39:K44">B39/F39</f>
        <v>13.652173913043478</v>
      </c>
    </row>
    <row r="40" spans="1:11" ht="12.75">
      <c r="A40" s="169" t="s">
        <v>158</v>
      </c>
      <c r="B40" s="170">
        <v>383</v>
      </c>
      <c r="C40" s="170">
        <v>14</v>
      </c>
      <c r="D40" s="170">
        <v>82.17</v>
      </c>
      <c r="E40" s="170">
        <v>39.32</v>
      </c>
      <c r="F40" s="170">
        <v>28</v>
      </c>
      <c r="G40" s="170">
        <v>935105</v>
      </c>
      <c r="H40" s="167">
        <f>G40*0.71</f>
        <v>663924.5499999999</v>
      </c>
      <c r="I40" s="167">
        <f t="shared" si="4"/>
        <v>1896.6877611455923</v>
      </c>
      <c r="J40" s="167">
        <f t="shared" si="4"/>
        <v>2814.1935825703627</v>
      </c>
      <c r="K40" s="168">
        <f t="shared" si="5"/>
        <v>13.678571428571429</v>
      </c>
    </row>
    <row r="41" spans="1:11" ht="12.75">
      <c r="A41" s="169" t="s">
        <v>159</v>
      </c>
      <c r="B41" s="170">
        <v>276</v>
      </c>
      <c r="C41" s="170">
        <v>12</v>
      </c>
      <c r="D41" s="170">
        <v>78.58</v>
      </c>
      <c r="E41" s="170">
        <v>33.23</v>
      </c>
      <c r="F41" s="170">
        <v>25</v>
      </c>
      <c r="G41" s="170">
        <v>898177</v>
      </c>
      <c r="H41" s="167">
        <f>G41*0.71</f>
        <v>637705.6699999999</v>
      </c>
      <c r="I41" s="167">
        <f t="shared" si="4"/>
        <v>1905.0161194536356</v>
      </c>
      <c r="J41" s="167">
        <f t="shared" si="4"/>
        <v>3198.443524927274</v>
      </c>
      <c r="K41" s="168">
        <f t="shared" si="5"/>
        <v>11.04</v>
      </c>
    </row>
    <row r="42" spans="1:11" ht="13.5" thickBot="1">
      <c r="A42" s="171" t="s">
        <v>160</v>
      </c>
      <c r="B42" s="172">
        <v>250</v>
      </c>
      <c r="C42" s="172">
        <v>12</v>
      </c>
      <c r="D42" s="172">
        <v>75.1</v>
      </c>
      <c r="E42" s="172">
        <v>35.3</v>
      </c>
      <c r="F42" s="172">
        <v>27</v>
      </c>
      <c r="G42" s="172">
        <v>1021774</v>
      </c>
      <c r="H42" s="173">
        <f>G42*0.71</f>
        <v>725459.5399999999</v>
      </c>
      <c r="I42" s="173">
        <f t="shared" si="4"/>
        <v>2267.5854416333777</v>
      </c>
      <c r="J42" s="173">
        <f t="shared" si="4"/>
        <v>3425.2102927289893</v>
      </c>
      <c r="K42" s="174">
        <f t="shared" si="5"/>
        <v>9.25925925925926</v>
      </c>
    </row>
    <row r="43" spans="1:11" ht="13.5" thickBot="1">
      <c r="A43" s="175" t="s">
        <v>256</v>
      </c>
      <c r="B43" s="176">
        <f aca="true" t="shared" si="6" ref="B43:H43">SUM(B39:B42)</f>
        <v>1223</v>
      </c>
      <c r="C43" s="176">
        <f t="shared" si="6"/>
        <v>51</v>
      </c>
      <c r="D43" s="176">
        <f t="shared" si="6"/>
        <v>307.37</v>
      </c>
      <c r="E43" s="176">
        <f t="shared" si="6"/>
        <v>139.51999999999998</v>
      </c>
      <c r="F43" s="176">
        <f t="shared" si="6"/>
        <v>103</v>
      </c>
      <c r="G43" s="176">
        <f t="shared" si="6"/>
        <v>3633385</v>
      </c>
      <c r="H43" s="177">
        <f t="shared" si="6"/>
        <v>2579703.3499999996</v>
      </c>
      <c r="I43" s="177">
        <f t="shared" si="4"/>
        <v>1970.147270932969</v>
      </c>
      <c r="J43" s="177">
        <f t="shared" si="4"/>
        <v>3081.6410431001527</v>
      </c>
      <c r="K43" s="178">
        <f t="shared" si="5"/>
        <v>11.87378640776699</v>
      </c>
    </row>
    <row r="44" spans="1:11" ht="13.5" thickBot="1">
      <c r="A44" s="175" t="s">
        <v>271</v>
      </c>
      <c r="B44" s="176">
        <f aca="true" t="shared" si="7" ref="B44:H44">B43+B37</f>
        <v>8538</v>
      </c>
      <c r="C44" s="176">
        <f t="shared" si="7"/>
        <v>338</v>
      </c>
      <c r="D44" s="176">
        <f t="shared" si="7"/>
        <v>1986.3400000000001</v>
      </c>
      <c r="E44" s="176">
        <f t="shared" si="7"/>
        <v>926.1199999999997</v>
      </c>
      <c r="F44" s="176">
        <f t="shared" si="7"/>
        <v>661</v>
      </c>
      <c r="G44" s="176">
        <f t="shared" si="7"/>
        <v>23298008</v>
      </c>
      <c r="H44" s="177">
        <f t="shared" si="7"/>
        <v>16541585.68</v>
      </c>
      <c r="I44" s="177">
        <f t="shared" si="4"/>
        <v>1954.8523079298272</v>
      </c>
      <c r="J44" s="177">
        <f t="shared" si="4"/>
        <v>2976.861472235421</v>
      </c>
      <c r="K44" s="178">
        <f t="shared" si="5"/>
        <v>12.91679273827534</v>
      </c>
    </row>
  </sheetData>
  <mergeCells count="12">
    <mergeCell ref="K3:K4"/>
    <mergeCell ref="A38:K38"/>
    <mergeCell ref="A1:K1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1"/>
  <sheetViews>
    <sheetView workbookViewId="0" topLeftCell="A31">
      <selection activeCell="G24" sqref="G24"/>
    </sheetView>
  </sheetViews>
  <sheetFormatPr defaultColWidth="9.00390625" defaultRowHeight="12.75"/>
  <cols>
    <col min="1" max="1" width="27.00390625" style="0" customWidth="1"/>
    <col min="2" max="2" width="13.125" style="0" customWidth="1"/>
    <col min="3" max="3" width="14.25390625" style="0" customWidth="1"/>
    <col min="4" max="4" width="13.25390625" style="0" customWidth="1"/>
    <col min="5" max="5" width="14.625" style="0" customWidth="1"/>
  </cols>
  <sheetData>
    <row r="1" spans="1:5" ht="12.75">
      <c r="A1" s="212" t="s">
        <v>275</v>
      </c>
      <c r="B1" s="212"/>
      <c r="C1" s="212"/>
      <c r="D1" s="212"/>
      <c r="E1" s="212"/>
    </row>
    <row r="2" ht="13.5" thickBot="1">
      <c r="E2" t="s">
        <v>276</v>
      </c>
    </row>
    <row r="3" spans="1:5" ht="90" thickBot="1">
      <c r="A3" s="213" t="s">
        <v>235</v>
      </c>
      <c r="B3" s="214" t="s">
        <v>277</v>
      </c>
      <c r="C3" s="214" t="s">
        <v>278</v>
      </c>
      <c r="D3" s="214" t="s">
        <v>279</v>
      </c>
      <c r="E3" s="215" t="s">
        <v>280</v>
      </c>
    </row>
    <row r="4" spans="1:5" ht="12.75">
      <c r="A4" s="165" t="s">
        <v>56</v>
      </c>
      <c r="B4" s="132">
        <v>565188</v>
      </c>
      <c r="C4" s="132">
        <v>565188</v>
      </c>
      <c r="D4" s="132">
        <v>521447</v>
      </c>
      <c r="E4" s="133">
        <v>480925</v>
      </c>
    </row>
    <row r="5" spans="1:5" ht="12.75">
      <c r="A5" s="169" t="s">
        <v>57</v>
      </c>
      <c r="B5" s="122">
        <v>850958</v>
      </c>
      <c r="C5" s="122">
        <v>850958</v>
      </c>
      <c r="D5" s="122">
        <v>767547</v>
      </c>
      <c r="E5" s="123">
        <v>735389</v>
      </c>
    </row>
    <row r="6" spans="1:5" ht="12.75">
      <c r="A6" s="169" t="s">
        <v>58</v>
      </c>
      <c r="B6" s="122">
        <v>503582</v>
      </c>
      <c r="C6" s="122">
        <v>503582</v>
      </c>
      <c r="D6" s="122">
        <v>468162</v>
      </c>
      <c r="E6" s="123">
        <v>447887</v>
      </c>
    </row>
    <row r="7" spans="1:5" ht="12.75">
      <c r="A7" s="169" t="s">
        <v>59</v>
      </c>
      <c r="B7" s="122">
        <v>737526</v>
      </c>
      <c r="C7" s="122">
        <v>737526</v>
      </c>
      <c r="D7" s="122">
        <v>766874</v>
      </c>
      <c r="E7" s="123">
        <v>689220</v>
      </c>
    </row>
    <row r="8" spans="1:5" ht="12.75">
      <c r="A8" s="169" t="s">
        <v>94</v>
      </c>
      <c r="B8" s="122">
        <v>560248</v>
      </c>
      <c r="C8" s="122">
        <v>560248</v>
      </c>
      <c r="D8" s="122">
        <v>500412</v>
      </c>
      <c r="E8" s="123">
        <v>468430</v>
      </c>
    </row>
    <row r="9" spans="1:5" ht="12.75">
      <c r="A9" s="169" t="s">
        <v>60</v>
      </c>
      <c r="B9" s="122">
        <v>532719</v>
      </c>
      <c r="C9" s="122">
        <v>532719</v>
      </c>
      <c r="D9" s="122">
        <v>512901</v>
      </c>
      <c r="E9" s="123">
        <v>481785</v>
      </c>
    </row>
    <row r="10" spans="1:5" ht="12.75">
      <c r="A10" s="169" t="s">
        <v>61</v>
      </c>
      <c r="B10" s="122">
        <v>324639</v>
      </c>
      <c r="C10" s="122">
        <v>324639</v>
      </c>
      <c r="D10" s="122">
        <v>291088</v>
      </c>
      <c r="E10" s="123">
        <v>276214</v>
      </c>
    </row>
    <row r="11" spans="1:5" ht="12.75">
      <c r="A11" s="169" t="s">
        <v>62</v>
      </c>
      <c r="B11" s="122">
        <v>902326</v>
      </c>
      <c r="C11" s="122">
        <v>902326</v>
      </c>
      <c r="D11" s="122">
        <v>795716</v>
      </c>
      <c r="E11" s="123">
        <v>740831</v>
      </c>
    </row>
    <row r="12" spans="1:5" ht="12.75">
      <c r="A12" s="169" t="s">
        <v>63</v>
      </c>
      <c r="B12" s="122">
        <v>705813</v>
      </c>
      <c r="C12" s="122">
        <v>705813</v>
      </c>
      <c r="D12" s="122">
        <v>673102</v>
      </c>
      <c r="E12" s="123">
        <v>631412</v>
      </c>
    </row>
    <row r="13" spans="1:5" ht="12.75">
      <c r="A13" s="169" t="s">
        <v>64</v>
      </c>
      <c r="B13" s="122">
        <v>1120603</v>
      </c>
      <c r="C13" s="122">
        <v>1120603</v>
      </c>
      <c r="D13" s="122">
        <v>1087226</v>
      </c>
      <c r="E13" s="123">
        <v>1004557</v>
      </c>
    </row>
    <row r="14" spans="1:5" ht="12.75">
      <c r="A14" s="169" t="s">
        <v>65</v>
      </c>
      <c r="B14" s="122">
        <v>1214321</v>
      </c>
      <c r="C14" s="122">
        <v>1214321</v>
      </c>
      <c r="D14" s="122">
        <v>1155078</v>
      </c>
      <c r="E14" s="123">
        <v>1103522</v>
      </c>
    </row>
    <row r="15" spans="1:5" ht="12.75">
      <c r="A15" s="169" t="s">
        <v>66</v>
      </c>
      <c r="B15" s="122">
        <v>402846</v>
      </c>
      <c r="C15" s="122">
        <v>402846</v>
      </c>
      <c r="D15" s="122">
        <v>400530</v>
      </c>
      <c r="E15" s="123">
        <v>377464</v>
      </c>
    </row>
    <row r="16" spans="1:5" ht="12.75">
      <c r="A16" s="169" t="s">
        <v>67</v>
      </c>
      <c r="B16" s="122">
        <v>901982</v>
      </c>
      <c r="C16" s="122">
        <v>901982</v>
      </c>
      <c r="D16" s="122">
        <v>864926</v>
      </c>
      <c r="E16" s="123">
        <v>799468</v>
      </c>
    </row>
    <row r="17" spans="1:5" ht="12.75">
      <c r="A17" s="169" t="s">
        <v>68</v>
      </c>
      <c r="B17" s="122">
        <v>675123</v>
      </c>
      <c r="C17" s="122">
        <v>675123</v>
      </c>
      <c r="D17" s="122">
        <v>672462</v>
      </c>
      <c r="E17" s="123">
        <v>635925</v>
      </c>
    </row>
    <row r="18" spans="1:5" ht="12.75">
      <c r="A18" s="169" t="s">
        <v>69</v>
      </c>
      <c r="B18" s="122">
        <v>667019</v>
      </c>
      <c r="C18" s="122">
        <v>667019</v>
      </c>
      <c r="D18" s="122">
        <v>595731</v>
      </c>
      <c r="E18" s="123">
        <v>568618</v>
      </c>
    </row>
    <row r="19" spans="1:5" ht="12.75">
      <c r="A19" s="169" t="s">
        <v>90</v>
      </c>
      <c r="B19" s="122">
        <v>1011672</v>
      </c>
      <c r="C19" s="122">
        <v>1011672</v>
      </c>
      <c r="D19" s="122">
        <v>873935</v>
      </c>
      <c r="E19" s="123">
        <v>848097</v>
      </c>
    </row>
    <row r="20" spans="1:5" ht="12.75">
      <c r="A20" s="169" t="s">
        <v>70</v>
      </c>
      <c r="B20" s="122">
        <v>900321</v>
      </c>
      <c r="C20" s="122">
        <v>900321</v>
      </c>
      <c r="D20" s="122">
        <v>899293</v>
      </c>
      <c r="E20" s="123">
        <v>899293</v>
      </c>
    </row>
    <row r="21" spans="1:5" ht="12.75">
      <c r="A21" s="169" t="s">
        <v>71</v>
      </c>
      <c r="B21" s="122">
        <v>1134673</v>
      </c>
      <c r="C21" s="122">
        <v>1134673</v>
      </c>
      <c r="D21" s="122">
        <v>1148471</v>
      </c>
      <c r="E21" s="123">
        <v>1148471</v>
      </c>
    </row>
    <row r="22" spans="1:5" ht="12.75">
      <c r="A22" s="169" t="s">
        <v>72</v>
      </c>
      <c r="B22" s="122">
        <v>1162039</v>
      </c>
      <c r="C22" s="122">
        <v>1162039</v>
      </c>
      <c r="D22" s="122">
        <v>1123462</v>
      </c>
      <c r="E22" s="123">
        <v>1123462</v>
      </c>
    </row>
    <row r="23" spans="1:5" ht="12.75">
      <c r="A23" s="169" t="s">
        <v>91</v>
      </c>
      <c r="B23" s="122">
        <v>911401</v>
      </c>
      <c r="C23" s="122">
        <v>911401</v>
      </c>
      <c r="D23" s="122">
        <v>851211</v>
      </c>
      <c r="E23" s="123">
        <v>851211</v>
      </c>
    </row>
    <row r="24" spans="1:5" ht="12.75">
      <c r="A24" s="169" t="s">
        <v>73</v>
      </c>
      <c r="B24" s="122">
        <v>981430</v>
      </c>
      <c r="C24" s="122">
        <v>981430</v>
      </c>
      <c r="D24" s="122">
        <v>926297</v>
      </c>
      <c r="E24" s="123">
        <v>926297</v>
      </c>
    </row>
    <row r="25" spans="1:5" ht="12.75">
      <c r="A25" s="169" t="s">
        <v>74</v>
      </c>
      <c r="B25" s="122">
        <v>958558</v>
      </c>
      <c r="C25" s="122">
        <v>958558</v>
      </c>
      <c r="D25" s="122">
        <v>913887</v>
      </c>
      <c r="E25" s="123">
        <v>913887</v>
      </c>
    </row>
    <row r="26" spans="1:5" ht="12.75">
      <c r="A26" s="169" t="s">
        <v>75</v>
      </c>
      <c r="B26" s="122">
        <v>932044</v>
      </c>
      <c r="C26" s="122">
        <v>932044</v>
      </c>
      <c r="D26" s="122">
        <v>933272</v>
      </c>
      <c r="E26" s="123">
        <v>933272</v>
      </c>
    </row>
    <row r="27" spans="1:5" ht="12.75">
      <c r="A27" s="169" t="s">
        <v>76</v>
      </c>
      <c r="B27" s="122">
        <v>1078684</v>
      </c>
      <c r="C27" s="122">
        <v>1078684</v>
      </c>
      <c r="D27" s="122">
        <v>1064146</v>
      </c>
      <c r="E27" s="123">
        <v>1064146</v>
      </c>
    </row>
    <row r="28" spans="1:5" ht="12.75">
      <c r="A28" s="169" t="s">
        <v>77</v>
      </c>
      <c r="B28" s="122">
        <v>1011781</v>
      </c>
      <c r="C28" s="122">
        <v>1011781</v>
      </c>
      <c r="D28" s="122">
        <v>909076</v>
      </c>
      <c r="E28" s="123">
        <v>909076</v>
      </c>
    </row>
    <row r="29" spans="1:5" ht="12.75">
      <c r="A29" s="169" t="s">
        <v>78</v>
      </c>
      <c r="B29" s="122">
        <v>649608</v>
      </c>
      <c r="C29" s="122">
        <v>649608</v>
      </c>
      <c r="D29" s="122">
        <v>612442</v>
      </c>
      <c r="E29" s="123">
        <v>612442</v>
      </c>
    </row>
    <row r="30" spans="1:5" ht="12.75">
      <c r="A30" s="169" t="s">
        <v>79</v>
      </c>
      <c r="B30" s="122">
        <v>1497312</v>
      </c>
      <c r="C30" s="122">
        <v>1497312</v>
      </c>
      <c r="D30" s="122">
        <v>1536792</v>
      </c>
      <c r="E30" s="123">
        <v>1536793</v>
      </c>
    </row>
    <row r="31" spans="1:5" ht="12.75">
      <c r="A31" s="169" t="s">
        <v>80</v>
      </c>
      <c r="B31" s="122">
        <v>957422</v>
      </c>
      <c r="C31" s="122">
        <v>957422</v>
      </c>
      <c r="D31" s="122">
        <v>922767</v>
      </c>
      <c r="E31" s="123">
        <v>922767</v>
      </c>
    </row>
    <row r="32" spans="1:5" ht="12.75">
      <c r="A32" s="169" t="s">
        <v>81</v>
      </c>
      <c r="B32" s="122">
        <v>1034711</v>
      </c>
      <c r="C32" s="122">
        <v>1034711</v>
      </c>
      <c r="D32" s="122">
        <v>972083</v>
      </c>
      <c r="E32" s="123">
        <v>972083</v>
      </c>
    </row>
    <row r="33" spans="1:5" ht="12.75">
      <c r="A33" s="169" t="s">
        <v>82</v>
      </c>
      <c r="B33" s="122">
        <v>1128725</v>
      </c>
      <c r="C33" s="122">
        <v>1128725</v>
      </c>
      <c r="D33" s="122">
        <v>958118</v>
      </c>
      <c r="E33" s="123">
        <v>958118</v>
      </c>
    </row>
    <row r="34" spans="1:5" ht="12.75">
      <c r="A34" s="169" t="s">
        <v>83</v>
      </c>
      <c r="B34" s="122">
        <v>1010872</v>
      </c>
      <c r="C34" s="122">
        <v>1010872</v>
      </c>
      <c r="D34" s="122">
        <v>987022</v>
      </c>
      <c r="E34" s="123">
        <v>987022</v>
      </c>
    </row>
    <row r="35" spans="1:5" ht="13.5" thickBot="1">
      <c r="A35" s="171" t="s">
        <v>84</v>
      </c>
      <c r="B35" s="126">
        <v>1087037</v>
      </c>
      <c r="C35" s="126">
        <v>1087037</v>
      </c>
      <c r="D35" s="126">
        <v>1061634</v>
      </c>
      <c r="E35" s="127">
        <v>1061634</v>
      </c>
    </row>
    <row r="36" spans="1:5" ht="13.5" thickBot="1">
      <c r="A36" s="175" t="s">
        <v>281</v>
      </c>
      <c r="B36" s="129">
        <f>SUM(B4:B35)</f>
        <v>28113183</v>
      </c>
      <c r="C36" s="129">
        <f>SUM(C4:C35)</f>
        <v>28113183</v>
      </c>
      <c r="D36" s="129">
        <f>SUM(D4:D35)</f>
        <v>26767110</v>
      </c>
      <c r="E36" s="130">
        <f>SUM(E4:E35)</f>
        <v>26109718</v>
      </c>
    </row>
    <row r="37" spans="1:5" ht="12.75">
      <c r="A37" s="165" t="s">
        <v>85</v>
      </c>
      <c r="B37" s="132">
        <v>1197370</v>
      </c>
      <c r="C37" s="132">
        <f>878481+318889</f>
        <v>1197370</v>
      </c>
      <c r="D37" s="132">
        <f>778328.79+289735.58</f>
        <v>1068064.37</v>
      </c>
      <c r="E37" s="133">
        <v>1068064</v>
      </c>
    </row>
    <row r="38" spans="1:5" ht="12.75">
      <c r="A38" s="169" t="s">
        <v>86</v>
      </c>
      <c r="B38" s="122">
        <v>1373545</v>
      </c>
      <c r="C38" s="122">
        <f>998153+365808</f>
        <v>1363961</v>
      </c>
      <c r="D38" s="122">
        <f>935105.09+342158.7</f>
        <v>1277263.79</v>
      </c>
      <c r="E38" s="123">
        <v>1277264</v>
      </c>
    </row>
    <row r="39" spans="1:5" ht="12.75">
      <c r="A39" s="169" t="s">
        <v>87</v>
      </c>
      <c r="B39" s="122">
        <v>1422388</v>
      </c>
      <c r="C39" s="122">
        <f>1043573+378815</f>
        <v>1422388</v>
      </c>
      <c r="D39" s="122">
        <f>898176.54+324251.82</f>
        <v>1222428.36</v>
      </c>
      <c r="E39" s="123">
        <v>1222438</v>
      </c>
    </row>
    <row r="40" spans="1:5" ht="13.5" thickBot="1">
      <c r="A40" s="171" t="s">
        <v>282</v>
      </c>
      <c r="B40" s="126">
        <v>1379616</v>
      </c>
      <c r="C40" s="126">
        <f>1021774+367426</f>
        <v>1389200</v>
      </c>
      <c r="D40" s="126">
        <f>1021773.87+358096.14</f>
        <v>1379870.01</v>
      </c>
      <c r="E40" s="127">
        <v>1379870</v>
      </c>
    </row>
    <row r="41" spans="1:5" ht="13.5" thickBot="1">
      <c r="A41" s="175" t="s">
        <v>283</v>
      </c>
      <c r="B41" s="129">
        <f>SUM(B36:B40)</f>
        <v>33486102</v>
      </c>
      <c r="C41" s="129">
        <f>SUM(C36:C40)</f>
        <v>33486102</v>
      </c>
      <c r="D41" s="129">
        <f>SUM(D36:D40)</f>
        <v>31714736.53</v>
      </c>
      <c r="E41" s="130">
        <f>SUM(E36:E40)</f>
        <v>31057354</v>
      </c>
    </row>
    <row r="42" spans="1:5" ht="13.5" thickBot="1">
      <c r="A42" s="216"/>
      <c r="B42" s="217"/>
      <c r="C42" s="217"/>
      <c r="D42" s="217"/>
      <c r="E42" s="217"/>
    </row>
    <row r="43" spans="1:5" ht="90" thickBot="1">
      <c r="A43" s="213" t="s">
        <v>235</v>
      </c>
      <c r="B43" s="214" t="s">
        <v>277</v>
      </c>
      <c r="C43" s="214" t="s">
        <v>278</v>
      </c>
      <c r="D43" s="214" t="s">
        <v>279</v>
      </c>
      <c r="E43" s="215" t="s">
        <v>280</v>
      </c>
    </row>
    <row r="44" spans="1:5" ht="12.75">
      <c r="A44" s="165" t="s">
        <v>0</v>
      </c>
      <c r="B44" s="134">
        <v>2248055</v>
      </c>
      <c r="C44" s="134">
        <v>2253608</v>
      </c>
      <c r="D44" s="134">
        <v>2253608</v>
      </c>
      <c r="E44" s="135">
        <v>2253608</v>
      </c>
    </row>
    <row r="45" spans="1:5" ht="12.75">
      <c r="A45" s="169" t="s">
        <v>1</v>
      </c>
      <c r="B45" s="136">
        <v>957798</v>
      </c>
      <c r="C45" s="134">
        <v>951809</v>
      </c>
      <c r="D45" s="134">
        <v>951809</v>
      </c>
      <c r="E45" s="135">
        <v>951809</v>
      </c>
    </row>
    <row r="46" spans="1:5" ht="12.75">
      <c r="A46" s="169" t="s">
        <v>2</v>
      </c>
      <c r="B46" s="136">
        <v>1220133</v>
      </c>
      <c r="C46" s="136">
        <v>1260899</v>
      </c>
      <c r="D46" s="136">
        <v>1260899</v>
      </c>
      <c r="E46" s="137">
        <v>1260899</v>
      </c>
    </row>
    <row r="47" spans="1:5" ht="12.75">
      <c r="A47" s="169" t="s">
        <v>3</v>
      </c>
      <c r="B47" s="136">
        <v>1855237</v>
      </c>
      <c r="C47" s="136">
        <v>1875369</v>
      </c>
      <c r="D47" s="136">
        <v>1875369</v>
      </c>
      <c r="E47" s="137">
        <v>1875369</v>
      </c>
    </row>
    <row r="48" spans="1:5" ht="12.75">
      <c r="A48" s="169" t="s">
        <v>4</v>
      </c>
      <c r="B48" s="136">
        <v>2930653</v>
      </c>
      <c r="C48" s="136">
        <v>3056445</v>
      </c>
      <c r="D48" s="136">
        <v>3056445</v>
      </c>
      <c r="E48" s="137">
        <v>3056445</v>
      </c>
    </row>
    <row r="49" spans="1:5" ht="12.75">
      <c r="A49" s="169" t="s">
        <v>5</v>
      </c>
      <c r="B49" s="136">
        <v>838110</v>
      </c>
      <c r="C49" s="136">
        <v>828652</v>
      </c>
      <c r="D49" s="136">
        <v>828652</v>
      </c>
      <c r="E49" s="137">
        <v>828652</v>
      </c>
    </row>
    <row r="50" spans="1:5" ht="12.75">
      <c r="A50" s="169" t="s">
        <v>6</v>
      </c>
      <c r="B50" s="136">
        <v>3001867</v>
      </c>
      <c r="C50" s="136">
        <v>3105298</v>
      </c>
      <c r="D50" s="136">
        <v>3105298</v>
      </c>
      <c r="E50" s="137">
        <v>3105298</v>
      </c>
    </row>
    <row r="51" spans="1:5" ht="12.75">
      <c r="A51" s="121" t="s">
        <v>284</v>
      </c>
      <c r="B51" s="136">
        <v>2186725</v>
      </c>
      <c r="C51" s="136">
        <v>2190969</v>
      </c>
      <c r="D51" s="136">
        <v>2190969</v>
      </c>
      <c r="E51" s="137">
        <v>2190969</v>
      </c>
    </row>
    <row r="52" spans="1:5" ht="12.75">
      <c r="A52" s="169" t="s">
        <v>7</v>
      </c>
      <c r="B52" s="136">
        <v>1293745</v>
      </c>
      <c r="C52" s="136">
        <v>1311482</v>
      </c>
      <c r="D52" s="136">
        <v>1311482</v>
      </c>
      <c r="E52" s="137">
        <v>1311482</v>
      </c>
    </row>
    <row r="53" spans="1:5" ht="12.75">
      <c r="A53" s="169" t="s">
        <v>40</v>
      </c>
      <c r="B53" s="136">
        <v>5317480</v>
      </c>
      <c r="C53" s="136">
        <v>5537210</v>
      </c>
      <c r="D53" s="136">
        <v>5537210</v>
      </c>
      <c r="E53" s="137">
        <v>5537210</v>
      </c>
    </row>
    <row r="54" spans="1:5" ht="12.75">
      <c r="A54" s="169" t="s">
        <v>248</v>
      </c>
      <c r="B54" s="136">
        <v>603782</v>
      </c>
      <c r="C54" s="136">
        <v>608375</v>
      </c>
      <c r="D54" s="136">
        <v>608375</v>
      </c>
      <c r="E54" s="137">
        <v>608375</v>
      </c>
    </row>
    <row r="55" spans="1:5" ht="12.75">
      <c r="A55" s="169" t="s">
        <v>9</v>
      </c>
      <c r="B55" s="136">
        <v>1345958</v>
      </c>
      <c r="C55" s="136">
        <v>1291540</v>
      </c>
      <c r="D55" s="136">
        <v>1291540</v>
      </c>
      <c r="E55" s="137">
        <v>1291540</v>
      </c>
    </row>
    <row r="56" spans="1:5" ht="12.75">
      <c r="A56" s="169" t="s">
        <v>10</v>
      </c>
      <c r="B56" s="136">
        <v>2088964</v>
      </c>
      <c r="C56" s="136">
        <v>2131808</v>
      </c>
      <c r="D56" s="136">
        <v>2131808</v>
      </c>
      <c r="E56" s="137">
        <v>2131808</v>
      </c>
    </row>
    <row r="57" spans="1:5" ht="12.75">
      <c r="A57" s="169" t="s">
        <v>11</v>
      </c>
      <c r="B57" s="136">
        <v>1019203</v>
      </c>
      <c r="C57" s="136">
        <v>1025741</v>
      </c>
      <c r="D57" s="136">
        <v>1025741</v>
      </c>
      <c r="E57" s="137">
        <v>1025741</v>
      </c>
    </row>
    <row r="58" spans="1:5" ht="12.75">
      <c r="A58" s="169" t="s">
        <v>12</v>
      </c>
      <c r="B58" s="136">
        <v>2610466</v>
      </c>
      <c r="C58" s="136">
        <v>2632427</v>
      </c>
      <c r="D58" s="136">
        <v>2632427</v>
      </c>
      <c r="E58" s="137">
        <v>2632427</v>
      </c>
    </row>
    <row r="59" spans="1:5" ht="12.75">
      <c r="A59" s="169" t="s">
        <v>14</v>
      </c>
      <c r="B59" s="136">
        <v>3759087</v>
      </c>
      <c r="C59" s="136">
        <v>3910230</v>
      </c>
      <c r="D59" s="136">
        <v>3910230</v>
      </c>
      <c r="E59" s="137">
        <v>3910230</v>
      </c>
    </row>
    <row r="60" spans="1:5" ht="12.75">
      <c r="A60" s="169" t="s">
        <v>15</v>
      </c>
      <c r="B60" s="136">
        <v>1797925</v>
      </c>
      <c r="C60" s="136">
        <v>1862365</v>
      </c>
      <c r="D60" s="136">
        <v>1862365</v>
      </c>
      <c r="E60" s="137">
        <v>1862365</v>
      </c>
    </row>
    <row r="61" spans="1:5" ht="12.75">
      <c r="A61" s="169" t="s">
        <v>16</v>
      </c>
      <c r="B61" s="136">
        <v>2191474</v>
      </c>
      <c r="C61" s="136">
        <v>2189878</v>
      </c>
      <c r="D61" s="136">
        <v>2189878</v>
      </c>
      <c r="E61" s="137">
        <v>2189878</v>
      </c>
    </row>
    <row r="62" spans="1:5" ht="12.75">
      <c r="A62" s="169" t="s">
        <v>17</v>
      </c>
      <c r="B62" s="136">
        <v>1156152</v>
      </c>
      <c r="C62" s="136">
        <v>1144617</v>
      </c>
      <c r="D62" s="136">
        <v>1144617</v>
      </c>
      <c r="E62" s="137">
        <v>1144617</v>
      </c>
    </row>
    <row r="63" spans="1:5" ht="12.75">
      <c r="A63" s="169" t="s">
        <v>18</v>
      </c>
      <c r="B63" s="136">
        <v>1362672</v>
      </c>
      <c r="C63" s="136">
        <v>1385772</v>
      </c>
      <c r="D63" s="136">
        <v>1385772</v>
      </c>
      <c r="E63" s="137">
        <v>1385772</v>
      </c>
    </row>
    <row r="64" spans="1:5" ht="12.75">
      <c r="A64" s="169" t="s">
        <v>19</v>
      </c>
      <c r="B64" s="136">
        <v>1055579</v>
      </c>
      <c r="C64" s="136">
        <v>1050414</v>
      </c>
      <c r="D64" s="136">
        <v>1050414</v>
      </c>
      <c r="E64" s="137">
        <v>1050414</v>
      </c>
    </row>
    <row r="65" spans="1:5" ht="12.75">
      <c r="A65" s="169" t="s">
        <v>20</v>
      </c>
      <c r="B65" s="136">
        <v>1357465</v>
      </c>
      <c r="C65" s="136">
        <v>1346030</v>
      </c>
      <c r="D65" s="136">
        <v>1346030</v>
      </c>
      <c r="E65" s="137">
        <v>1346030</v>
      </c>
    </row>
    <row r="66" spans="1:5" ht="12.75">
      <c r="A66" s="169" t="s">
        <v>22</v>
      </c>
      <c r="B66" s="136">
        <v>2721186</v>
      </c>
      <c r="C66" s="136">
        <v>2929110</v>
      </c>
      <c r="D66" s="136">
        <v>2929110</v>
      </c>
      <c r="E66" s="137">
        <v>2929110</v>
      </c>
    </row>
    <row r="67" spans="1:5" ht="12.75">
      <c r="A67" s="169" t="s">
        <v>23</v>
      </c>
      <c r="B67" s="136">
        <v>1556020</v>
      </c>
      <c r="C67" s="136">
        <v>1677902</v>
      </c>
      <c r="D67" s="136">
        <v>1677902</v>
      </c>
      <c r="E67" s="137">
        <v>1677902</v>
      </c>
    </row>
    <row r="68" spans="1:5" ht="12.75">
      <c r="A68" s="169" t="s">
        <v>24</v>
      </c>
      <c r="B68" s="136">
        <v>885104</v>
      </c>
      <c r="C68" s="136">
        <v>844798</v>
      </c>
      <c r="D68" s="136">
        <v>844798</v>
      </c>
      <c r="E68" s="137">
        <v>844798</v>
      </c>
    </row>
    <row r="69" spans="1:5" ht="12.75">
      <c r="A69" s="169" t="s">
        <v>25</v>
      </c>
      <c r="B69" s="136">
        <v>2509716</v>
      </c>
      <c r="C69" s="136">
        <v>2539567</v>
      </c>
      <c r="D69" s="136">
        <v>2539567</v>
      </c>
      <c r="E69" s="137">
        <v>2539567</v>
      </c>
    </row>
    <row r="70" spans="1:5" ht="12.75">
      <c r="A70" s="169" t="s">
        <v>27</v>
      </c>
      <c r="B70" s="136">
        <v>1079807</v>
      </c>
      <c r="C70" s="136">
        <v>1115342</v>
      </c>
      <c r="D70" s="136">
        <v>1115342</v>
      </c>
      <c r="E70" s="137">
        <v>1115342</v>
      </c>
    </row>
    <row r="71" spans="1:5" ht="12.75">
      <c r="A71" s="169" t="s">
        <v>28</v>
      </c>
      <c r="B71" s="136">
        <v>2302014</v>
      </c>
      <c r="C71" s="136">
        <v>2370771</v>
      </c>
      <c r="D71" s="136">
        <v>2370771</v>
      </c>
      <c r="E71" s="137">
        <v>2370771</v>
      </c>
    </row>
    <row r="72" spans="1:5" ht="12.75">
      <c r="A72" s="169" t="s">
        <v>29</v>
      </c>
      <c r="B72" s="136">
        <v>2348864</v>
      </c>
      <c r="C72" s="136">
        <v>2449189</v>
      </c>
      <c r="D72" s="136">
        <v>2449189</v>
      </c>
      <c r="E72" s="137">
        <v>2449189</v>
      </c>
    </row>
    <row r="73" spans="1:5" ht="12.75">
      <c r="A73" s="169" t="s">
        <v>30</v>
      </c>
      <c r="B73" s="136">
        <v>826563</v>
      </c>
      <c r="C73" s="136">
        <v>815332</v>
      </c>
      <c r="D73" s="136">
        <v>815332</v>
      </c>
      <c r="E73" s="137">
        <v>815332</v>
      </c>
    </row>
    <row r="74" spans="1:5" ht="12.75">
      <c r="A74" s="169" t="s">
        <v>285</v>
      </c>
      <c r="B74" s="136">
        <v>1175232</v>
      </c>
      <c r="C74" s="136">
        <v>1264513</v>
      </c>
      <c r="D74" s="136">
        <v>1264513</v>
      </c>
      <c r="E74" s="137">
        <v>1264513</v>
      </c>
    </row>
    <row r="75" spans="1:5" ht="12.75">
      <c r="A75" s="169" t="s">
        <v>249</v>
      </c>
      <c r="B75" s="136">
        <v>859180</v>
      </c>
      <c r="C75" s="136">
        <v>679250</v>
      </c>
      <c r="D75" s="136">
        <v>679250</v>
      </c>
      <c r="E75" s="137">
        <v>679250</v>
      </c>
    </row>
    <row r="76" spans="1:5" ht="12.75">
      <c r="A76" s="169" t="s">
        <v>194</v>
      </c>
      <c r="B76" s="136">
        <v>127715</v>
      </c>
      <c r="C76" s="136">
        <f>80417+512</f>
        <v>80929</v>
      </c>
      <c r="D76" s="136">
        <v>80417</v>
      </c>
      <c r="E76" s="137">
        <v>80417</v>
      </c>
    </row>
    <row r="77" spans="1:5" ht="13.5" thickBot="1">
      <c r="A77" s="171" t="s">
        <v>192</v>
      </c>
      <c r="B77" s="139">
        <v>1064258</v>
      </c>
      <c r="C77" s="139">
        <v>1041165</v>
      </c>
      <c r="D77" s="139">
        <v>1041165</v>
      </c>
      <c r="E77" s="140">
        <v>1041165</v>
      </c>
    </row>
    <row r="78" spans="1:5" ht="13.5" thickBot="1">
      <c r="A78" s="175" t="s">
        <v>286</v>
      </c>
      <c r="B78" s="141">
        <f>SUM(B44:B77)</f>
        <v>59654189</v>
      </c>
      <c r="C78" s="141">
        <f>SUM(C44:C77)</f>
        <v>60758806</v>
      </c>
      <c r="D78" s="141">
        <f>SUM(D44:D77)</f>
        <v>60758294</v>
      </c>
      <c r="E78" s="142">
        <f>SUM(E44:E77)</f>
        <v>60758294</v>
      </c>
    </row>
    <row r="79" spans="1:5" ht="12.75">
      <c r="A79" s="131" t="s">
        <v>196</v>
      </c>
      <c r="B79" s="134">
        <v>2818927</v>
      </c>
      <c r="C79" s="134">
        <f>2229448.42+792037.51</f>
        <v>3021485.9299999997</v>
      </c>
      <c r="D79" s="134">
        <f>2229448.42+792037.51</f>
        <v>3021485.9299999997</v>
      </c>
      <c r="E79" s="135">
        <f>2229448.42+792037.51</f>
        <v>3021485.9299999997</v>
      </c>
    </row>
    <row r="80" spans="1:5" ht="12.75">
      <c r="A80" s="169" t="s">
        <v>13</v>
      </c>
      <c r="B80" s="136">
        <v>1969839</v>
      </c>
      <c r="C80" s="136">
        <f>1450342.13+524195.46</f>
        <v>1974537.5899999999</v>
      </c>
      <c r="D80" s="136">
        <f>1450342.13+524195.46</f>
        <v>1974537.5899999999</v>
      </c>
      <c r="E80" s="137">
        <f>1450342.13+524195.46</f>
        <v>1974537.5899999999</v>
      </c>
    </row>
    <row r="81" spans="1:5" ht="12.75">
      <c r="A81" s="169" t="s">
        <v>21</v>
      </c>
      <c r="B81" s="136">
        <v>2738632</v>
      </c>
      <c r="C81" s="136">
        <f>2045621.54+749370.59</f>
        <v>2794992.13</v>
      </c>
      <c r="D81" s="136">
        <f>2045621.54+749370.59</f>
        <v>2794992.13</v>
      </c>
      <c r="E81" s="137">
        <f>2045621.54+749370.59</f>
        <v>2794992.13</v>
      </c>
    </row>
    <row r="82" spans="1:5" ht="12.75">
      <c r="A82" s="169" t="s">
        <v>26</v>
      </c>
      <c r="B82" s="136">
        <v>2568815</v>
      </c>
      <c r="C82" s="136">
        <f>1889780.77+686708.56</f>
        <v>2576489.33</v>
      </c>
      <c r="D82" s="136">
        <f>1889780.77+686708.56</f>
        <v>2576489.33</v>
      </c>
      <c r="E82" s="137">
        <f>1889780.77+686708.56</f>
        <v>2576489.33</v>
      </c>
    </row>
    <row r="83" spans="1:5" ht="12.75">
      <c r="A83" s="169" t="s">
        <v>198</v>
      </c>
      <c r="B83" s="136">
        <v>248761</v>
      </c>
      <c r="C83" s="136">
        <f>322282.01+117560.46</f>
        <v>439842.47000000003</v>
      </c>
      <c r="D83" s="136">
        <f>322282.01+117560.46</f>
        <v>439842.47000000003</v>
      </c>
      <c r="E83" s="137">
        <f>322282.01+117560.46</f>
        <v>439842.47000000003</v>
      </c>
    </row>
    <row r="84" spans="1:5" ht="13.5" thickBot="1">
      <c r="A84" s="171" t="s">
        <v>287</v>
      </c>
      <c r="B84" s="139">
        <v>2024582</v>
      </c>
      <c r="C84" s="139">
        <f>1487542.3+541281.95</f>
        <v>2028824.25</v>
      </c>
      <c r="D84" s="139">
        <f>1487542.3+541281.95</f>
        <v>2028824.25</v>
      </c>
      <c r="E84" s="140">
        <f>1487542.3+541281.95</f>
        <v>2028824.25</v>
      </c>
    </row>
    <row r="85" spans="1:5" ht="13.5" thickBot="1">
      <c r="A85" s="175" t="s">
        <v>288</v>
      </c>
      <c r="B85" s="141">
        <f>SUM(B78:B84)</f>
        <v>72023745</v>
      </c>
      <c r="C85" s="141">
        <f>SUM(C78:C84)</f>
        <v>73594977.69999999</v>
      </c>
      <c r="D85" s="141">
        <f>SUM(D78:D84)</f>
        <v>73594465.69999999</v>
      </c>
      <c r="E85" s="142">
        <f>SUM(E78:E84)</f>
        <v>73594465.69999999</v>
      </c>
    </row>
    <row r="86" spans="1:5" ht="13.5" thickBot="1">
      <c r="A86" s="216"/>
      <c r="B86" s="218"/>
      <c r="C86" s="218"/>
      <c r="D86" s="218"/>
      <c r="E86" s="218"/>
    </row>
    <row r="87" spans="1:5" ht="90" thickBot="1">
      <c r="A87" s="213" t="s">
        <v>235</v>
      </c>
      <c r="B87" s="214" t="s">
        <v>277</v>
      </c>
      <c r="C87" s="214" t="s">
        <v>278</v>
      </c>
      <c r="D87" s="214" t="s">
        <v>279</v>
      </c>
      <c r="E87" s="215" t="s">
        <v>280</v>
      </c>
    </row>
    <row r="88" spans="1:5" ht="12.75">
      <c r="A88" s="219" t="s">
        <v>289</v>
      </c>
      <c r="B88" s="220">
        <f>154698+193169+56154+73372</f>
        <v>477393</v>
      </c>
      <c r="C88" s="220">
        <f>384603+132145</f>
        <v>516748</v>
      </c>
      <c r="D88" s="220">
        <f>387466.07+133183.67</f>
        <v>520649.74</v>
      </c>
      <c r="E88" s="221">
        <v>516747</v>
      </c>
    </row>
    <row r="89" spans="1:5" ht="12.75">
      <c r="A89" s="222" t="s">
        <v>290</v>
      </c>
      <c r="B89" s="223">
        <f>861390+1139939+313060+413435</f>
        <v>2727824</v>
      </c>
      <c r="C89" s="223">
        <f>2051763+746308</f>
        <v>2798071</v>
      </c>
      <c r="D89" s="223">
        <f>2262818.21+823352.61</f>
        <v>3086170.82</v>
      </c>
      <c r="E89" s="224">
        <v>2798070</v>
      </c>
    </row>
    <row r="90" spans="1:5" ht="13.5" thickBot="1">
      <c r="A90" s="225" t="s">
        <v>291</v>
      </c>
      <c r="B90" s="226">
        <f>407694+530728+148038+192654</f>
        <v>1279114</v>
      </c>
      <c r="C90" s="226">
        <f>938422+340692</f>
        <v>1279114</v>
      </c>
      <c r="D90" s="226">
        <f>881896.56+322168.77</f>
        <v>1204065.33</v>
      </c>
      <c r="E90" s="227">
        <v>1100467</v>
      </c>
    </row>
    <row r="91" spans="1:5" ht="13.5" thickBot="1">
      <c r="A91" s="228"/>
      <c r="B91" s="218"/>
      <c r="C91" s="218"/>
      <c r="D91" s="218"/>
      <c r="E91" s="218"/>
    </row>
    <row r="92" spans="1:5" ht="90" thickBot="1">
      <c r="A92" s="213" t="s">
        <v>235</v>
      </c>
      <c r="B92" s="214" t="s">
        <v>277</v>
      </c>
      <c r="C92" s="214" t="s">
        <v>278</v>
      </c>
      <c r="D92" s="214" t="s">
        <v>279</v>
      </c>
      <c r="E92" s="215" t="s">
        <v>280</v>
      </c>
    </row>
    <row r="93" spans="1:5" ht="12.75">
      <c r="A93" s="229" t="s">
        <v>200</v>
      </c>
      <c r="B93" s="230">
        <f>225916+225916+225916+230344+390763+484905+82008+82008+82008+83615+141847+176021</f>
        <v>2431267</v>
      </c>
      <c r="C93" s="230">
        <f>225916+225916+225916+230344+390763+484905+82008+82008+82008+83615+141847+176021</f>
        <v>2431267</v>
      </c>
      <c r="D93" s="230">
        <v>2452137</v>
      </c>
      <c r="E93" s="231">
        <v>2262748</v>
      </c>
    </row>
    <row r="94" spans="1:5" ht="12.75">
      <c r="A94" s="169" t="s">
        <v>201</v>
      </c>
      <c r="B94" s="136">
        <f>134694+134694+134694+137334+232978+289110+48894+48894+48894+49852+84571+104947</f>
        <v>1449556</v>
      </c>
      <c r="C94" s="136">
        <f>134694+134694+134694+137334+232978+289110+48894+48894+48894+49852+84571+104947</f>
        <v>1449556</v>
      </c>
      <c r="D94" s="136">
        <v>1385911</v>
      </c>
      <c r="E94" s="137">
        <v>1299508</v>
      </c>
    </row>
    <row r="95" spans="1:5" ht="13.5" thickBot="1">
      <c r="A95" s="171" t="s">
        <v>202</v>
      </c>
      <c r="B95" s="139">
        <f>130904+130904+130904+133470+226423+280972+47518+47518+47518+48450+82192+101992</f>
        <v>1408765</v>
      </c>
      <c r="C95" s="139">
        <f>130904+130904+130904+133470+226423+280972+47518+47518+47518+48450+82192+101992</f>
        <v>1408765</v>
      </c>
      <c r="D95" s="139">
        <v>1459086</v>
      </c>
      <c r="E95" s="140">
        <v>1331785</v>
      </c>
    </row>
    <row r="96" spans="1:5" ht="13.5" thickBot="1">
      <c r="A96" s="175" t="s">
        <v>203</v>
      </c>
      <c r="B96" s="141">
        <f>SUM(B93:B95)</f>
        <v>5289588</v>
      </c>
      <c r="C96" s="141">
        <f>SUM(C93:C95)</f>
        <v>5289588</v>
      </c>
      <c r="D96" s="141">
        <f>SUM(D93:D95)</f>
        <v>5297134</v>
      </c>
      <c r="E96" s="142">
        <f>SUM(E93:E95)</f>
        <v>4894041</v>
      </c>
    </row>
    <row r="97" spans="1:5" ht="13.5" thickBot="1">
      <c r="A97" s="216"/>
      <c r="B97" s="218"/>
      <c r="C97" s="218"/>
      <c r="D97" s="218"/>
      <c r="E97" s="218"/>
    </row>
    <row r="98" spans="1:5" ht="90" thickBot="1">
      <c r="A98" s="213" t="s">
        <v>235</v>
      </c>
      <c r="B98" s="214" t="s">
        <v>277</v>
      </c>
      <c r="C98" s="214" t="s">
        <v>278</v>
      </c>
      <c r="D98" s="214" t="s">
        <v>279</v>
      </c>
      <c r="E98" s="215" t="s">
        <v>280</v>
      </c>
    </row>
    <row r="99" spans="1:5" ht="12.75">
      <c r="A99" s="232" t="s">
        <v>204</v>
      </c>
      <c r="B99" s="136">
        <v>132705</v>
      </c>
      <c r="C99" s="136">
        <v>156694</v>
      </c>
      <c r="D99" s="136">
        <v>156694</v>
      </c>
      <c r="E99" s="137">
        <v>147015</v>
      </c>
    </row>
    <row r="100" spans="1:5" ht="12.75">
      <c r="A100" s="232" t="s">
        <v>205</v>
      </c>
      <c r="B100" s="136">
        <v>22152</v>
      </c>
      <c r="C100" s="136">
        <v>20787</v>
      </c>
      <c r="D100" s="136">
        <v>20787</v>
      </c>
      <c r="E100" s="137">
        <v>20787</v>
      </c>
    </row>
    <row r="101" spans="1:5" ht="12.75">
      <c r="A101" s="232" t="s">
        <v>206</v>
      </c>
      <c r="B101" s="136">
        <v>146013</v>
      </c>
      <c r="C101" s="136">
        <f>172163-1460</f>
        <v>170703</v>
      </c>
      <c r="D101" s="136">
        <v>172163</v>
      </c>
      <c r="E101" s="137">
        <v>129815</v>
      </c>
    </row>
    <row r="102" spans="1:5" ht="12.75">
      <c r="A102" s="232" t="s">
        <v>292</v>
      </c>
      <c r="B102" s="136">
        <v>197686</v>
      </c>
      <c r="C102" s="136">
        <v>221122</v>
      </c>
      <c r="D102" s="136">
        <v>221122</v>
      </c>
      <c r="E102" s="137">
        <v>207369</v>
      </c>
    </row>
    <row r="103" spans="1:5" ht="12.75">
      <c r="A103" s="232" t="s">
        <v>208</v>
      </c>
      <c r="B103" s="136">
        <v>117525</v>
      </c>
      <c r="C103" s="136">
        <v>117525</v>
      </c>
      <c r="D103" s="136">
        <v>145596</v>
      </c>
      <c r="E103" s="137">
        <v>130530</v>
      </c>
    </row>
    <row r="104" spans="1:5" ht="12.75">
      <c r="A104" s="232" t="s">
        <v>209</v>
      </c>
      <c r="B104" s="136">
        <v>65687</v>
      </c>
      <c r="C104" s="136">
        <v>65687</v>
      </c>
      <c r="D104" s="136">
        <v>70922</v>
      </c>
      <c r="E104" s="137">
        <v>52800</v>
      </c>
    </row>
    <row r="105" spans="1:5" ht="12.75">
      <c r="A105" s="232" t="s">
        <v>210</v>
      </c>
      <c r="B105" s="136">
        <v>119206</v>
      </c>
      <c r="C105" s="136">
        <v>119206</v>
      </c>
      <c r="D105" s="136">
        <v>133922</v>
      </c>
      <c r="E105" s="137">
        <v>109692</v>
      </c>
    </row>
    <row r="106" spans="1:5" ht="12.75">
      <c r="A106" s="232" t="s">
        <v>211</v>
      </c>
      <c r="B106" s="136">
        <v>231516</v>
      </c>
      <c r="C106" s="136">
        <v>231516</v>
      </c>
      <c r="D106" s="136">
        <v>283898</v>
      </c>
      <c r="E106" s="137">
        <v>259257</v>
      </c>
    </row>
    <row r="107" spans="1:5" ht="12.75">
      <c r="A107" s="232" t="s">
        <v>212</v>
      </c>
      <c r="B107" s="136">
        <v>65708</v>
      </c>
      <c r="C107" s="136">
        <v>65708</v>
      </c>
      <c r="D107" s="136">
        <v>67829</v>
      </c>
      <c r="E107" s="137">
        <v>63080</v>
      </c>
    </row>
    <row r="108" spans="1:5" ht="12.75">
      <c r="A108" s="232" t="s">
        <v>213</v>
      </c>
      <c r="B108" s="136">
        <v>112694</v>
      </c>
      <c r="C108" s="136">
        <f>112694-655</f>
        <v>112039</v>
      </c>
      <c r="D108" s="136">
        <v>112039</v>
      </c>
      <c r="E108" s="137">
        <v>101775</v>
      </c>
    </row>
    <row r="109" spans="1:5" ht="12.75">
      <c r="A109" s="232" t="s">
        <v>214</v>
      </c>
      <c r="B109" s="136">
        <v>131187</v>
      </c>
      <c r="C109" s="136">
        <f>131187-167</f>
        <v>131020</v>
      </c>
      <c r="D109" s="136">
        <v>131020</v>
      </c>
      <c r="E109" s="137">
        <v>119940</v>
      </c>
    </row>
    <row r="110" spans="1:5" ht="12.75">
      <c r="A110" s="232" t="s">
        <v>215</v>
      </c>
      <c r="B110" s="136">
        <v>134279</v>
      </c>
      <c r="C110" s="136">
        <f>134279+21650</f>
        <v>155929</v>
      </c>
      <c r="D110" s="136">
        <v>174395</v>
      </c>
      <c r="E110" s="137">
        <v>136083</v>
      </c>
    </row>
    <row r="111" spans="1:5" ht="12.75">
      <c r="A111" s="232" t="s">
        <v>216</v>
      </c>
      <c r="B111" s="136">
        <v>117308</v>
      </c>
      <c r="C111" s="136">
        <v>117308</v>
      </c>
      <c r="D111" s="136">
        <v>126058</v>
      </c>
      <c r="E111" s="137">
        <v>98109</v>
      </c>
    </row>
    <row r="112" spans="1:5" ht="12.75">
      <c r="A112" s="232" t="s">
        <v>217</v>
      </c>
      <c r="B112" s="136">
        <v>114158</v>
      </c>
      <c r="C112" s="136">
        <v>114158</v>
      </c>
      <c r="D112" s="136">
        <v>147655</v>
      </c>
      <c r="E112" s="137">
        <v>113640</v>
      </c>
    </row>
    <row r="113" spans="1:5" ht="12.75">
      <c r="A113" s="232" t="s">
        <v>218</v>
      </c>
      <c r="B113" s="136">
        <v>163566</v>
      </c>
      <c r="C113" s="136">
        <v>163566</v>
      </c>
      <c r="D113" s="136">
        <v>190912</v>
      </c>
      <c r="E113" s="137">
        <v>171972</v>
      </c>
    </row>
    <row r="114" spans="1:5" ht="12.75">
      <c r="A114" s="232" t="s">
        <v>219</v>
      </c>
      <c r="B114" s="233">
        <v>67866</v>
      </c>
      <c r="C114" s="233">
        <f>67866-11139</f>
        <v>56727</v>
      </c>
      <c r="D114" s="233">
        <v>56727</v>
      </c>
      <c r="E114" s="234">
        <v>51473</v>
      </c>
    </row>
    <row r="115" spans="1:5" ht="12.75">
      <c r="A115" s="232" t="s">
        <v>52</v>
      </c>
      <c r="B115" s="233">
        <v>189122</v>
      </c>
      <c r="C115" s="233">
        <v>189122</v>
      </c>
      <c r="D115" s="233">
        <v>191868</v>
      </c>
      <c r="E115" s="234">
        <v>170162</v>
      </c>
    </row>
    <row r="116" spans="1:5" ht="12.75">
      <c r="A116" s="232" t="s">
        <v>51</v>
      </c>
      <c r="B116" s="233">
        <v>587414</v>
      </c>
      <c r="C116" s="233">
        <f>587414-32818</f>
        <v>554596</v>
      </c>
      <c r="D116" s="233">
        <v>554596</v>
      </c>
      <c r="E116" s="234">
        <v>480870</v>
      </c>
    </row>
    <row r="117" spans="1:5" ht="13.5" thickBot="1">
      <c r="A117" s="235" t="s">
        <v>50</v>
      </c>
      <c r="B117" s="236">
        <v>687788</v>
      </c>
      <c r="C117" s="236">
        <f>687788+23129</f>
        <v>710917</v>
      </c>
      <c r="D117" s="236">
        <v>710917</v>
      </c>
      <c r="E117" s="237">
        <v>598750</v>
      </c>
    </row>
    <row r="118" spans="1:5" ht="13.5" thickBot="1">
      <c r="A118" s="238" t="s">
        <v>221</v>
      </c>
      <c r="B118" s="141">
        <f>SUM(B99:B117)</f>
        <v>3403580</v>
      </c>
      <c r="C118" s="141">
        <f>SUM(C99:C117)</f>
        <v>3474330</v>
      </c>
      <c r="D118" s="141">
        <f>SUM(D99:D117)</f>
        <v>3669120</v>
      </c>
      <c r="E118" s="142">
        <f>SUM(E99:E117)</f>
        <v>3163119</v>
      </c>
    </row>
    <row r="119" spans="1:5" ht="12.75">
      <c r="A119" s="131" t="s">
        <v>196</v>
      </c>
      <c r="B119" s="239">
        <v>174532</v>
      </c>
      <c r="C119" s="240">
        <f>136400+53509.86</f>
        <v>189909.86</v>
      </c>
      <c r="D119" s="241">
        <f>137968.18+55984.18</f>
        <v>193952.36</v>
      </c>
      <c r="E119" s="242">
        <v>136071</v>
      </c>
    </row>
    <row r="120" spans="1:5" ht="12.75">
      <c r="A120" s="232" t="s">
        <v>223</v>
      </c>
      <c r="B120" s="243">
        <v>130004</v>
      </c>
      <c r="C120" s="244">
        <v>128854</v>
      </c>
      <c r="D120" s="245">
        <f>93767.97+34231.1</f>
        <v>127999.07</v>
      </c>
      <c r="E120" s="234">
        <v>127667</v>
      </c>
    </row>
    <row r="121" spans="1:5" ht="12.75">
      <c r="A121" s="246" t="s">
        <v>224</v>
      </c>
      <c r="B121" s="243">
        <v>157453</v>
      </c>
      <c r="C121" s="244">
        <f>111263.57+40399.29</f>
        <v>151662.86000000002</v>
      </c>
      <c r="D121" s="244">
        <f>111263.57+40399.29</f>
        <v>151662.86000000002</v>
      </c>
      <c r="E121" s="234">
        <v>142136</v>
      </c>
    </row>
    <row r="122" spans="1:5" ht="12.75">
      <c r="A122" s="246" t="s">
        <v>225</v>
      </c>
      <c r="B122" s="243">
        <v>181475</v>
      </c>
      <c r="C122" s="244">
        <f>123143+41332</f>
        <v>164475</v>
      </c>
      <c r="D122" s="245">
        <f>118675.67+39029.3</f>
        <v>157704.97</v>
      </c>
      <c r="E122" s="234">
        <v>120424</v>
      </c>
    </row>
    <row r="123" spans="1:5" ht="12.75">
      <c r="A123" s="246" t="s">
        <v>198</v>
      </c>
      <c r="B123" s="243">
        <v>377756</v>
      </c>
      <c r="C123" s="244">
        <f>243150+88606</f>
        <v>331756</v>
      </c>
      <c r="D123" s="245">
        <f>239609.55+87079.07</f>
        <v>326688.62</v>
      </c>
      <c r="E123" s="234">
        <v>323965</v>
      </c>
    </row>
    <row r="124" spans="1:5" ht="13.5" thickBot="1">
      <c r="A124" s="247" t="s">
        <v>49</v>
      </c>
      <c r="B124" s="248">
        <v>141685</v>
      </c>
      <c r="C124" s="249">
        <f>92074.08+33422.9</f>
        <v>125496.98000000001</v>
      </c>
      <c r="D124" s="250">
        <f>92074.08+33422.9</f>
        <v>125496.98000000001</v>
      </c>
      <c r="E124" s="237">
        <v>114972</v>
      </c>
    </row>
    <row r="125" spans="1:5" ht="13.5" thickBot="1">
      <c r="A125" s="175" t="s">
        <v>226</v>
      </c>
      <c r="B125" s="141">
        <f>SUM(B118:B124)</f>
        <v>4566485</v>
      </c>
      <c r="C125" s="141">
        <f>SUM(C118:C124)</f>
        <v>4566484.7</v>
      </c>
      <c r="D125" s="141">
        <f>SUM(D118:D124)</f>
        <v>4752624.86</v>
      </c>
      <c r="E125" s="142">
        <f>SUM(E118:E124)</f>
        <v>4128354</v>
      </c>
    </row>
    <row r="126" spans="1:5" ht="13.5" thickBot="1">
      <c r="A126" s="216"/>
      <c r="B126" s="218"/>
      <c r="C126" s="218"/>
      <c r="D126" s="218"/>
      <c r="E126" s="218"/>
    </row>
    <row r="127" spans="1:5" ht="90" thickBot="1">
      <c r="A127" s="213" t="s">
        <v>235</v>
      </c>
      <c r="B127" s="214" t="s">
        <v>277</v>
      </c>
      <c r="C127" s="214" t="s">
        <v>278</v>
      </c>
      <c r="D127" s="214" t="s">
        <v>279</v>
      </c>
      <c r="E127" s="215" t="s">
        <v>280</v>
      </c>
    </row>
    <row r="128" spans="1:5" ht="13.5" thickBot="1">
      <c r="A128" s="251" t="s">
        <v>227</v>
      </c>
      <c r="B128" s="252">
        <f>137043+188849+50046+68732</f>
        <v>444670</v>
      </c>
      <c r="C128" s="252">
        <f>325892+118778</f>
        <v>444670</v>
      </c>
      <c r="D128" s="252">
        <f>341514.87+126590.96</f>
        <v>468105.83</v>
      </c>
      <c r="E128" s="253">
        <v>411306</v>
      </c>
    </row>
    <row r="129" spans="1:5" ht="13.5" thickBot="1">
      <c r="A129" s="254" t="s">
        <v>228</v>
      </c>
      <c r="B129" s="255">
        <f>21144+23006+7974+8652</f>
        <v>60776</v>
      </c>
      <c r="C129" s="255">
        <f>44150+16626</f>
        <v>60776</v>
      </c>
      <c r="D129" s="255">
        <f>39725.45+16396.79</f>
        <v>56122.24</v>
      </c>
      <c r="E129" s="256">
        <v>50697</v>
      </c>
    </row>
    <row r="130" spans="1:5" ht="13.5" thickBot="1">
      <c r="A130" s="251" t="s">
        <v>229</v>
      </c>
      <c r="B130" s="252">
        <f>387630+470100+141910+171535</f>
        <v>1171175</v>
      </c>
      <c r="C130" s="252">
        <f>857730+313445</f>
        <v>1171175</v>
      </c>
      <c r="D130" s="252">
        <f>835318.7+302719.31</f>
        <v>1138038.01</v>
      </c>
      <c r="E130" s="253">
        <v>1009780</v>
      </c>
    </row>
    <row r="131" spans="1:5" ht="13.5" thickBot="1">
      <c r="A131" s="251" t="s">
        <v>231</v>
      </c>
      <c r="B131" s="252">
        <f>38982+54100+14217+19638</f>
        <v>126937</v>
      </c>
      <c r="C131" s="252">
        <f>97457+35553</f>
        <v>133010</v>
      </c>
      <c r="D131" s="252">
        <f>122631.95+44690.16</f>
        <v>167322.11</v>
      </c>
      <c r="E131" s="253">
        <v>133010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1300</dc:creator>
  <cp:keywords/>
  <dc:description/>
  <cp:lastModifiedBy>admin</cp:lastModifiedBy>
  <cp:lastPrinted>2012-07-17T06:09:08Z</cp:lastPrinted>
  <dcterms:created xsi:type="dcterms:W3CDTF">2006-06-16T04:50:46Z</dcterms:created>
  <dcterms:modified xsi:type="dcterms:W3CDTF">2012-08-27T08:52:41Z</dcterms:modified>
  <cp:category/>
  <cp:version/>
  <cp:contentType/>
  <cp:contentStatus/>
</cp:coreProperties>
</file>